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Z:\12 Submittal Forms\Standard Modular Blower Submittal Form\"/>
    </mc:Choice>
  </mc:AlternateContent>
  <xr:revisionPtr revIDLastSave="0" documentId="13_ncr:1_{1AEB3467-456D-4084-9C8D-045AA4A38489}" xr6:coauthVersionLast="47" xr6:coauthVersionMax="47" xr10:uidLastSave="{00000000-0000-0000-0000-000000000000}"/>
  <workbookProtection workbookAlgorithmName="SHA-512" workbookHashValue="Jw2jvpgJcRp3TWae1dYaiddzOhQzvPo5HF8rgy+1gSqZ9UkK/tiB3xB3f66P/LAaURIk+ybe4HSFWRnEeWSLWA==" workbookSaltValue="mORvte5y0d8IE/aQCSn5Jw==" workbookSpinCount="100000" lockStructure="1"/>
  <bookViews>
    <workbookView xWindow="28680" yWindow="-120" windowWidth="38640" windowHeight="21120" xr2:uid="{00000000-000D-0000-FFFF-FFFF00000000}"/>
  </bookViews>
  <sheets>
    <sheet name="Front" sheetId="3" r:id="rId1"/>
    <sheet name="Back" sheetId="18" r:id="rId2"/>
    <sheet name="Nomenclature" sheetId="6" state="hidden" r:id="rId3"/>
    <sheet name="Data" sheetId="15" state="hidden" r:id="rId4"/>
    <sheet name="Airflow" sheetId="7" state="hidden" r:id="rId5"/>
    <sheet name="Dim" sheetId="20" state="hidden" r:id="rId6"/>
  </sheets>
  <definedNames>
    <definedName name="_xlnm._FilterDatabase" localSheetId="4" hidden="1">Airflow!#REF!</definedName>
    <definedName name="_xlnm._FilterDatabase" localSheetId="3" hidden="1">Data!$B$2:$L$38</definedName>
    <definedName name="_xlnm.Print_Area" localSheetId="1">Back!$A$1:$Q$63</definedName>
    <definedName name="_xlnm.Print_Area" localSheetId="0">Front!$A$1:$H$72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3" i="18" l="1"/>
  <c r="N53" i="18"/>
  <c r="O46" i="18"/>
  <c r="N46" i="18"/>
  <c r="N39" i="18"/>
  <c r="O39" i="18"/>
  <c r="O32" i="18"/>
  <c r="N32" i="18"/>
  <c r="M32" i="18"/>
  <c r="C7" i="18" l="1"/>
  <c r="Q7" i="18" s="1"/>
  <c r="M53" i="18"/>
  <c r="L53" i="18"/>
  <c r="K53" i="18"/>
  <c r="J53" i="18"/>
  <c r="I53" i="18"/>
  <c r="H53" i="18"/>
  <c r="G53" i="18"/>
  <c r="F53" i="18"/>
  <c r="E53" i="18"/>
  <c r="M46" i="18"/>
  <c r="L46" i="18"/>
  <c r="K46" i="18"/>
  <c r="J46" i="18"/>
  <c r="I46" i="18"/>
  <c r="H46" i="18"/>
  <c r="G46" i="18"/>
  <c r="F46" i="18"/>
  <c r="E46" i="18"/>
  <c r="M39" i="18"/>
  <c r="L39" i="18"/>
  <c r="K39" i="18"/>
  <c r="J39" i="18"/>
  <c r="I39" i="18"/>
  <c r="H39" i="18"/>
  <c r="G39" i="18"/>
  <c r="F39" i="18"/>
  <c r="E39" i="18"/>
  <c r="L32" i="18"/>
  <c r="K32" i="18"/>
  <c r="J32" i="18"/>
  <c r="I32" i="18"/>
  <c r="H32" i="18"/>
  <c r="G32" i="18"/>
  <c r="F32" i="18"/>
  <c r="E32" i="18"/>
  <c r="G43" i="3"/>
  <c r="F43" i="3"/>
  <c r="E43" i="3"/>
  <c r="D43" i="3"/>
  <c r="G42" i="3"/>
  <c r="F42" i="3"/>
  <c r="E42" i="3"/>
  <c r="D42" i="3"/>
  <c r="G41" i="3"/>
  <c r="F41" i="3"/>
  <c r="E41" i="3"/>
  <c r="D41" i="3"/>
  <c r="G40" i="3"/>
  <c r="F40" i="3"/>
  <c r="E40" i="3"/>
  <c r="D40" i="3"/>
  <c r="G39" i="3"/>
  <c r="F39" i="3"/>
  <c r="E39" i="3"/>
  <c r="D39" i="3"/>
  <c r="G38" i="3"/>
  <c r="F38" i="3"/>
  <c r="E38" i="3"/>
  <c r="D38" i="3"/>
  <c r="G37" i="3"/>
  <c r="F37" i="3"/>
  <c r="E37" i="3"/>
  <c r="D37" i="3"/>
  <c r="C10" i="18"/>
  <c r="Q10" i="18" s="1"/>
  <c r="C9" i="18"/>
  <c r="Q9" i="18" s="1"/>
  <c r="C8" i="18"/>
  <c r="Q8" i="18" s="1"/>
  <c r="C33" i="18"/>
  <c r="C54" i="18"/>
  <c r="C47" i="18"/>
  <c r="C40" i="18"/>
  <c r="O58" i="18" l="1"/>
  <c r="N57" i="18"/>
  <c r="K58" i="18"/>
  <c r="H57" i="18"/>
  <c r="E56" i="18"/>
  <c r="K54" i="18"/>
  <c r="O57" i="18"/>
  <c r="N56" i="18"/>
  <c r="J58" i="18"/>
  <c r="G57" i="18"/>
  <c r="M55" i="18"/>
  <c r="J54" i="18"/>
  <c r="N55" i="18"/>
  <c r="I58" i="18"/>
  <c r="F57" i="18"/>
  <c r="L55" i="18"/>
  <c r="I54" i="18"/>
  <c r="N54" i="18"/>
  <c r="H58" i="18"/>
  <c r="E57" i="18"/>
  <c r="K55" i="18"/>
  <c r="H54" i="18"/>
  <c r="G58" i="18"/>
  <c r="M56" i="18"/>
  <c r="J55" i="18"/>
  <c r="G54" i="18"/>
  <c r="F58" i="18"/>
  <c r="L56" i="18"/>
  <c r="I55" i="18"/>
  <c r="O56" i="18"/>
  <c r="O55" i="18"/>
  <c r="O54" i="18"/>
  <c r="F54" i="18"/>
  <c r="E58" i="18"/>
  <c r="K56" i="18"/>
  <c r="H55" i="18"/>
  <c r="E54" i="18"/>
  <c r="M57" i="18"/>
  <c r="J56" i="18"/>
  <c r="G55" i="18"/>
  <c r="M58" i="18"/>
  <c r="J57" i="18"/>
  <c r="G56" i="18"/>
  <c r="M54" i="18"/>
  <c r="I56" i="18"/>
  <c r="N58" i="18"/>
  <c r="H56" i="18"/>
  <c r="L57" i="18"/>
  <c r="F56" i="18"/>
  <c r="L58" i="18"/>
  <c r="I57" i="18"/>
  <c r="F55" i="18"/>
  <c r="E55" i="18"/>
  <c r="L54" i="18"/>
  <c r="K57" i="18"/>
  <c r="O42" i="18"/>
  <c r="K43" i="18"/>
  <c r="G42" i="18"/>
  <c r="M40" i="18"/>
  <c r="O41" i="18"/>
  <c r="N44" i="18"/>
  <c r="J43" i="18"/>
  <c r="F42" i="18"/>
  <c r="L40" i="18"/>
  <c r="O40" i="18"/>
  <c r="N43" i="18"/>
  <c r="M44" i="18"/>
  <c r="I43" i="18"/>
  <c r="E42" i="18"/>
  <c r="K40" i="18"/>
  <c r="N42" i="18"/>
  <c r="L44" i="18"/>
  <c r="H43" i="18"/>
  <c r="M41" i="18"/>
  <c r="J40" i="18"/>
  <c r="N41" i="18"/>
  <c r="K44" i="18"/>
  <c r="G43" i="18"/>
  <c r="L41" i="18"/>
  <c r="I40" i="18"/>
  <c r="J44" i="18"/>
  <c r="K41" i="18"/>
  <c r="N40" i="18"/>
  <c r="E43" i="18"/>
  <c r="H40" i="18"/>
  <c r="F44" i="18"/>
  <c r="I44" i="18"/>
  <c r="M42" i="18"/>
  <c r="J41" i="18"/>
  <c r="G40" i="18"/>
  <c r="F43" i="18"/>
  <c r="H44" i="18"/>
  <c r="L42" i="18"/>
  <c r="I41" i="18"/>
  <c r="F40" i="18"/>
  <c r="O44" i="18"/>
  <c r="M43" i="18"/>
  <c r="I42" i="18"/>
  <c r="F41" i="18"/>
  <c r="O43" i="18"/>
  <c r="H41" i="18"/>
  <c r="E41" i="18"/>
  <c r="G44" i="18"/>
  <c r="G41" i="18"/>
  <c r="L43" i="18"/>
  <c r="K42" i="18"/>
  <c r="J42" i="18"/>
  <c r="H42" i="18"/>
  <c r="E40" i="18"/>
  <c r="E44" i="18"/>
  <c r="H51" i="18"/>
  <c r="L49" i="18"/>
  <c r="I48" i="18"/>
  <c r="F47" i="18"/>
  <c r="G51" i="18"/>
  <c r="K49" i="18"/>
  <c r="H48" i="18"/>
  <c r="E47" i="18"/>
  <c r="E51" i="18"/>
  <c r="J49" i="18"/>
  <c r="G48" i="18"/>
  <c r="M50" i="18"/>
  <c r="I49" i="18"/>
  <c r="F48" i="18"/>
  <c r="F51" i="18"/>
  <c r="L50" i="18"/>
  <c r="H49" i="18"/>
  <c r="E48" i="18"/>
  <c r="F50" i="18"/>
  <c r="K50" i="18"/>
  <c r="G49" i="18"/>
  <c r="O48" i="18"/>
  <c r="M47" i="18"/>
  <c r="O51" i="18"/>
  <c r="O50" i="18"/>
  <c r="N51" i="18"/>
  <c r="J50" i="18"/>
  <c r="F49" i="18"/>
  <c r="L47" i="18"/>
  <c r="O49" i="18"/>
  <c r="N50" i="18"/>
  <c r="M51" i="18"/>
  <c r="I50" i="18"/>
  <c r="E49" i="18"/>
  <c r="K47" i="18"/>
  <c r="O47" i="18"/>
  <c r="N47" i="18"/>
  <c r="J51" i="18"/>
  <c r="E50" i="18"/>
  <c r="K48" i="18"/>
  <c r="H47" i="18"/>
  <c r="M48" i="18"/>
  <c r="L48" i="18"/>
  <c r="J48" i="18"/>
  <c r="G47" i="18"/>
  <c r="M49" i="18"/>
  <c r="N49" i="18"/>
  <c r="J47" i="18"/>
  <c r="I47" i="18"/>
  <c r="L51" i="18"/>
  <c r="K51" i="18"/>
  <c r="I51" i="18"/>
  <c r="N48" i="18"/>
  <c r="H50" i="18"/>
  <c r="G50" i="18"/>
  <c r="N33" i="18"/>
  <c r="J37" i="18"/>
  <c r="E36" i="18"/>
  <c r="K34" i="18"/>
  <c r="H33" i="18"/>
  <c r="I37" i="18"/>
  <c r="M35" i="18"/>
  <c r="J34" i="18"/>
  <c r="G33" i="18"/>
  <c r="H37" i="18"/>
  <c r="L35" i="18"/>
  <c r="I34" i="18"/>
  <c r="F33" i="18"/>
  <c r="O37" i="18"/>
  <c r="G37" i="18"/>
  <c r="K35" i="18"/>
  <c r="H34" i="18"/>
  <c r="E33" i="18"/>
  <c r="O36" i="18"/>
  <c r="E37" i="18"/>
  <c r="J35" i="18"/>
  <c r="G34" i="18"/>
  <c r="O35" i="18"/>
  <c r="M36" i="18"/>
  <c r="F34" i="18"/>
  <c r="N37" i="18"/>
  <c r="I35" i="18"/>
  <c r="O34" i="18"/>
  <c r="L36" i="18"/>
  <c r="H35" i="18"/>
  <c r="E34" i="18"/>
  <c r="O33" i="18"/>
  <c r="K36" i="18"/>
  <c r="G35" i="18"/>
  <c r="M33" i="18"/>
  <c r="N35" i="18"/>
  <c r="L37" i="18"/>
  <c r="H36" i="18"/>
  <c r="M34" i="18"/>
  <c r="J33" i="18"/>
  <c r="L33" i="18"/>
  <c r="K37" i="18"/>
  <c r="F36" i="18"/>
  <c r="N36" i="18"/>
  <c r="K33" i="18"/>
  <c r="M37" i="18"/>
  <c r="F37" i="18"/>
  <c r="J36" i="18"/>
  <c r="I36" i="18"/>
  <c r="N34" i="18"/>
  <c r="I33" i="18"/>
  <c r="F35" i="18"/>
  <c r="E35" i="18"/>
  <c r="L34" i="18"/>
  <c r="G36" i="18"/>
  <c r="K8" i="18"/>
  <c r="H8" i="18"/>
  <c r="E8" i="18"/>
  <c r="K9" i="18"/>
  <c r="H9" i="18"/>
  <c r="E9" i="18"/>
  <c r="X10" i="18"/>
  <c r="K10" i="18"/>
  <c r="H10" i="18"/>
  <c r="E10" i="18"/>
  <c r="K7" i="18"/>
  <c r="H7" i="18"/>
  <c r="E7" i="18"/>
  <c r="R10" i="18"/>
  <c r="T10" i="18"/>
  <c r="V10" i="18"/>
  <c r="C32" i="18"/>
  <c r="C53" i="18"/>
  <c r="C46" i="18"/>
  <c r="C39" i="1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8227BA3-4665-43BD-9FD7-E85984881E5A}" keepAlive="1" name="Query - Airflow Config" description="Connection to the 'Airflow Config' query in the workbook." type="5" refreshedVersion="0" background="1">
    <dbPr connection="Provider=Microsoft.Mashup.OleDb.1;Data Source=$Workbook$;Location=&quot;Airflow Config&quot;;Extended Properties=&quot;&quot;" command="SELECT * FROM [Airflow Config]"/>
  </connection>
  <connection id="2" xr16:uid="{F3735F8E-CD01-4FFC-BEA5-F13D6978FB10}" keepAlive="1" name="Query - Blower Motor" description="Connection to the 'Blower Motor' query in the workbook." type="5" refreshedVersion="0" background="1">
    <dbPr connection="Provider=Microsoft.Mashup.OleDb.1;Data Source=$Workbook$;Location=&quot;Blower Motor&quot;;Extended Properties=&quot;&quot;" command="SELECT * FROM [Blower Motor]"/>
  </connection>
  <connection id="3" xr16:uid="{88DFA047-1328-45FE-9867-BF51F7164FA2}" keepAlive="1" name="Query - Electrial Heat" description="Connection to the 'Electrial Heat' query in the workbook." type="5" refreshedVersion="0" background="1">
    <dbPr connection="Provider=Microsoft.Mashup.OleDb.1;Data Source=$Workbook$;Location=&quot;Electrial Heat&quot;;Extended Properties=&quot;&quot;" command="SELECT * FROM [Electrial Heat]"/>
  </connection>
  <connection id="4" xr16:uid="{6909E2EC-8AEC-436E-8A5F-D82A20EBA643}" keepAlive="1" name="Query - Line Voltage Connection" description="Connection to the 'Line Voltage Connection' query in the workbook." type="5" refreshedVersion="0" background="1">
    <dbPr connection="Provider=Microsoft.Mashup.OleDb.1;Data Source=$Workbook$;Location=&quot;Line Voltage Connection&quot;;Extended Properties=&quot;&quot;" command="SELECT * FROM [Line Voltage Connection]"/>
  </connection>
  <connection id="5" xr16:uid="{D64965FA-9CE2-488F-ACD5-E113DB04124E}" keepAlive="1" name="Query - Metering Device" description="Connection to the 'Metering Device' query in the workbook." type="5" refreshedVersion="0" background="1">
    <dbPr connection="Provider=Microsoft.Mashup.OleDb.1;Data Source=$Workbook$;Location=&quot;Metering Device&quot;;Extended Properties=&quot;&quot;" command="SELECT * FROM [Metering Device]"/>
  </connection>
  <connection id="6" xr16:uid="{1791D5D6-A7FA-4A01-9E1F-6AA118AFB04F}" keepAlive="1" name="Query - Part Number" description="Connection to the 'Part Number' query in the workbook." type="5" refreshedVersion="8" background="1" saveData="1">
    <dbPr connection="Provider=Microsoft.Mashup.OleDb.1;Data Source=$Workbook$;Location=&quot;Part Number&quot;;Extended Properties=&quot;&quot;" command="SELECT * FROM [Part Number]"/>
  </connection>
  <connection id="7" xr16:uid="{A199A8B3-0505-4411-BAE4-D165EBE20F2A}" keepAlive="1" name="Query - Revision" description="Connection to the 'Revision' query in the workbook." type="5" refreshedVersion="0" background="1">
    <dbPr connection="Provider=Microsoft.Mashup.OleDb.1;Data Source=$Workbook$;Location=Revision;Extended Properties=&quot;&quot;" command="SELECT * FROM [Revision]"/>
  </connection>
  <connection id="8" xr16:uid="{027D7ECA-0699-4300-B9B1-786BF0CBA370}" keepAlive="1" name="Query - Slab Number" description="Connection to the 'Slab Number' query in the workbook." type="5" refreshedVersion="0" background="1">
    <dbPr connection="Provider=Microsoft.Mashup.OleDb.1;Data Source=$Workbook$;Location=&quot;Slab Number&quot;;Extended Properties=&quot;&quot;" command="SELECT * FROM [Slab Number]"/>
  </connection>
  <connection id="9" xr16:uid="{15067F7E-6915-42FD-B361-BE2AD23ED4B5}" keepAlive="1" name="Query - Table6" description="Connection to the 'Table6' query in the workbook." type="5" refreshedVersion="0" background="1">
    <dbPr connection="Provider=Microsoft.Mashup.OleDb.1;Data Source=$Workbook$;Location=Table6;Extended Properties=&quot;&quot;" command="SELECT * FROM [Table6]"/>
  </connection>
  <connection id="10" xr16:uid="{00E5D56C-FA25-4DCD-B4D6-F5E2024578E1}" keepAlive="1" name="Query - Unit Size" description="Connection to the 'Unit Size' query in the workbook." type="5" refreshedVersion="0" background="1">
    <dbPr connection="Provider=Microsoft.Mashup.OleDb.1;Data Source=$Workbook$;Location=&quot;Unit Size&quot;;Extended Properties=&quot;&quot;" command="SELECT * FROM [Unit Size]"/>
  </connection>
  <connection id="11" xr16:uid="{0ECFDB7B-A887-4E45-A003-3F9F4981AE02}" keepAlive="1" name="Query - Voltage" description="Connection to the 'Voltage' query in the workbook." type="5" refreshedVersion="0" background="1">
    <dbPr connection="Provider=Microsoft.Mashup.OleDb.1;Data Source=$Workbook$;Location=Voltage;Extended Properties=&quot;&quot;" command="SELECT * FROM [Voltage]"/>
  </connection>
</connections>
</file>

<file path=xl/sharedStrings.xml><?xml version="1.0" encoding="utf-8"?>
<sst xmlns="http://schemas.openxmlformats.org/spreadsheetml/2006/main" count="888" uniqueCount="195">
  <si>
    <t>FEATURES</t>
  </si>
  <si>
    <t>Unit Size</t>
  </si>
  <si>
    <t>SUBMITTAL DATA</t>
  </si>
  <si>
    <t>Architect:</t>
  </si>
  <si>
    <t>Date:</t>
  </si>
  <si>
    <t>For:</t>
  </si>
  <si>
    <t>Product Warranty</t>
  </si>
  <si>
    <t xml:space="preserve">Job: </t>
  </si>
  <si>
    <t>Location:</t>
  </si>
  <si>
    <t>Schedule No.:</t>
  </si>
  <si>
    <t>System Designation:</t>
  </si>
  <si>
    <t>Engineer:</t>
  </si>
  <si>
    <t>Available Voltages</t>
  </si>
  <si>
    <t>Maximum Elec. Heat available (kW)</t>
  </si>
  <si>
    <t>Transformer Size and Type</t>
  </si>
  <si>
    <t>Motor H.P.</t>
  </si>
  <si>
    <t>Nominal CFM</t>
  </si>
  <si>
    <t>Refrigerant Conn. (IDS) Suction</t>
  </si>
  <si>
    <t>Refrigerant Conn. (IDS) Liquid</t>
  </si>
  <si>
    <t>Max Unit Weight (lbs)</t>
  </si>
  <si>
    <t>Factory Installed metering device</t>
  </si>
  <si>
    <t>Refrigerant (R22 or R-410A)</t>
  </si>
  <si>
    <t>Metering Device</t>
  </si>
  <si>
    <t>1/2</t>
  </si>
  <si>
    <t>3/4</t>
  </si>
  <si>
    <t>S</t>
  </si>
  <si>
    <t>A</t>
  </si>
  <si>
    <t>Revision</t>
  </si>
  <si>
    <t>208/240 V, 60 Hz, 1 ph. (ECM only)</t>
  </si>
  <si>
    <t>208/240 V, 60 Hz, 1 ph. (PSC only)</t>
  </si>
  <si>
    <t>Electric Heat</t>
  </si>
  <si>
    <t>Series</t>
  </si>
  <si>
    <t>Blower Motor</t>
  </si>
  <si>
    <t>Airflow Config.</t>
  </si>
  <si>
    <t>Slab No.</t>
  </si>
  <si>
    <t>Line Voltage Connection</t>
  </si>
  <si>
    <t>Voltage</t>
  </si>
  <si>
    <t>C:</t>
  </si>
  <si>
    <t>E:</t>
  </si>
  <si>
    <t>1:</t>
  </si>
  <si>
    <t>3:</t>
  </si>
  <si>
    <t>4:</t>
  </si>
  <si>
    <t>120 V, 60 Hz, 1 ph. (PSC only)</t>
  </si>
  <si>
    <t>120 V, 60 Hz, 1 ph. (ECM only)</t>
  </si>
  <si>
    <t>00:</t>
  </si>
  <si>
    <t>none</t>
  </si>
  <si>
    <t>-</t>
  </si>
  <si>
    <t>Airflow (CFM) vs. External Static Pressure (inches W.C.)</t>
  </si>
  <si>
    <t>Speed</t>
  </si>
  <si>
    <t>Part Number</t>
  </si>
  <si>
    <t>Stripped wire</t>
  </si>
  <si>
    <t>Pallet Quantity (min order per model)</t>
  </si>
  <si>
    <t>Blower Data: Motor H.P.</t>
  </si>
  <si>
    <t>40 VA, Class 2</t>
  </si>
  <si>
    <t>Motor Type</t>
  </si>
  <si>
    <t>Blower Data:</t>
  </si>
  <si>
    <t>Dimensions</t>
  </si>
  <si>
    <t>120 V, 60 Hz, 1 Ph</t>
  </si>
  <si>
    <t>Voltage/Motor</t>
  </si>
  <si>
    <t>Tap</t>
  </si>
  <si>
    <t>ID</t>
  </si>
  <si>
    <t>Air Handler Size</t>
  </si>
  <si>
    <t>Unit size</t>
  </si>
  <si>
    <t>A:</t>
  </si>
  <si>
    <t>B:</t>
  </si>
  <si>
    <t>F.L.A.</t>
  </si>
  <si>
    <r>
      <t>Moduleflex eFurnace</t>
    </r>
    <r>
      <rPr>
        <vertAlign val="superscript"/>
        <sz val="14"/>
        <color theme="1"/>
        <rFont val="Calibri"/>
        <family val="2"/>
        <scheme val="minor"/>
      </rPr>
      <t>TM</t>
    </r>
  </si>
  <si>
    <t>Product Nomenclature</t>
  </si>
  <si>
    <t>AEF</t>
  </si>
  <si>
    <t>E</t>
  </si>
  <si>
    <t>Size / Airflow</t>
  </si>
  <si>
    <t>3 Ton / 600-1200 CFM</t>
  </si>
  <si>
    <t>5:</t>
  </si>
  <si>
    <t>4 Ton / 1000-1600 CFM</t>
  </si>
  <si>
    <t>5 Ton / 1400-2000 CFM</t>
  </si>
  <si>
    <t>Cabinet Width</t>
  </si>
  <si>
    <t>D:</t>
  </si>
  <si>
    <t>14.25"</t>
  </si>
  <si>
    <t>17.5"</t>
  </si>
  <si>
    <t>21.0"</t>
  </si>
  <si>
    <t>24.5"</t>
  </si>
  <si>
    <t xml:space="preserve">120 V, 60 Hz, 1 ph. </t>
  </si>
  <si>
    <t>00</t>
  </si>
  <si>
    <t>No heat</t>
  </si>
  <si>
    <t>5-speed ECM motor</t>
  </si>
  <si>
    <t>H</t>
  </si>
  <si>
    <t>Cabinet Color</t>
  </si>
  <si>
    <t>Front Panel Color</t>
  </si>
  <si>
    <r>
      <rPr>
        <b/>
        <sz val="10"/>
        <color theme="1"/>
        <rFont val="Century Gothic"/>
        <family val="2"/>
      </rPr>
      <t>S</t>
    </r>
    <r>
      <rPr>
        <sz val="10"/>
        <color theme="1"/>
        <rFont val="Century Gothic"/>
        <family val="2"/>
      </rPr>
      <t>: Stripped wire</t>
    </r>
  </si>
  <si>
    <t>H:</t>
  </si>
  <si>
    <t>Galvanized</t>
  </si>
  <si>
    <r>
      <rPr>
        <b/>
        <sz val="8"/>
        <rFont val="Arial"/>
        <family val="2"/>
      </rPr>
      <t>A</t>
    </r>
    <r>
      <rPr>
        <sz val="8"/>
        <rFont val="Arial"/>
        <family val="2"/>
      </rPr>
      <t>:</t>
    </r>
  </si>
  <si>
    <r>
      <rPr>
        <b/>
        <sz val="8"/>
        <rFont val="Arial"/>
        <family val="2"/>
      </rPr>
      <t>G</t>
    </r>
    <r>
      <rPr>
        <sz val="8"/>
        <rFont val="Arial"/>
        <family val="2"/>
      </rPr>
      <t>:</t>
    </r>
  </si>
  <si>
    <r>
      <rPr>
        <b/>
        <sz val="8"/>
        <rFont val="Arial"/>
        <family val="2"/>
      </rPr>
      <t>J</t>
    </r>
    <r>
      <rPr>
        <sz val="8"/>
        <rFont val="Arial"/>
        <family val="2"/>
      </rPr>
      <t>:</t>
    </r>
  </si>
  <si>
    <t>N:</t>
  </si>
  <si>
    <r>
      <rPr>
        <b/>
        <sz val="8"/>
        <rFont val="Arial"/>
        <family val="2"/>
      </rPr>
      <t>P</t>
    </r>
    <r>
      <rPr>
        <sz val="8"/>
        <rFont val="Arial"/>
        <family val="2"/>
      </rPr>
      <t>:</t>
    </r>
  </si>
  <si>
    <r>
      <rPr>
        <b/>
        <sz val="8"/>
        <rFont val="Arial"/>
        <family val="2"/>
      </rPr>
      <t>R</t>
    </r>
    <r>
      <rPr>
        <sz val="8"/>
        <rFont val="Arial"/>
        <family val="2"/>
      </rPr>
      <t>:</t>
    </r>
  </si>
  <si>
    <t>T:</t>
  </si>
  <si>
    <r>
      <rPr>
        <b/>
        <sz val="8"/>
        <rFont val="Arial"/>
        <family val="2"/>
      </rPr>
      <t>Y</t>
    </r>
    <r>
      <rPr>
        <sz val="8"/>
        <rFont val="Arial"/>
        <family val="2"/>
      </rPr>
      <t>:</t>
    </r>
  </si>
  <si>
    <t>Armstrong</t>
  </si>
  <si>
    <t>ICP</t>
  </si>
  <si>
    <t>Goodman/Amana</t>
  </si>
  <si>
    <t>Nordyne</t>
  </si>
  <si>
    <t>Carrier/Bryant/Payne</t>
  </si>
  <si>
    <t>Rheem/Ruud</t>
  </si>
  <si>
    <t>Trane/American Std.</t>
  </si>
  <si>
    <t>York/Luxaire/Coleman</t>
  </si>
  <si>
    <t>AEFE3A00S1HH2</t>
  </si>
  <si>
    <t>AEFE3A00S1HA2</t>
  </si>
  <si>
    <t>AEFE3A00S1HG2</t>
  </si>
  <si>
    <t>AEFE3A00S1HJ2</t>
  </si>
  <si>
    <t>AEFE3A00S1HN2</t>
  </si>
  <si>
    <t>AEFE3A00S1HP2</t>
  </si>
  <si>
    <t>AEFE3A00S1HR2</t>
  </si>
  <si>
    <t>AEFE3A00S1HT2</t>
  </si>
  <si>
    <t>AEFE3A00S1HY2</t>
  </si>
  <si>
    <t>AEFE4B00S1HH2</t>
  </si>
  <si>
    <t>AEFE4B00S1HA2</t>
  </si>
  <si>
    <t>AEFE4B00S1HG2</t>
  </si>
  <si>
    <t>AEFE4B00S1HJ2</t>
  </si>
  <si>
    <t>AEFE4B00S1HN2</t>
  </si>
  <si>
    <t>AEFE4B00S1HP2</t>
  </si>
  <si>
    <t>AEFE4B00S1HR2</t>
  </si>
  <si>
    <t>AEFE4B00S1HT2</t>
  </si>
  <si>
    <t>AEFE4B00S1HY2</t>
  </si>
  <si>
    <t>AEFE5C00S1HH2</t>
  </si>
  <si>
    <t>AEFE5C00S1HA2</t>
  </si>
  <si>
    <t>AEFE5C00S1HG2</t>
  </si>
  <si>
    <t>AEFE5C00S1HJ2</t>
  </si>
  <si>
    <t>AEFE5C00S1HN2</t>
  </si>
  <si>
    <t>AEFE5C00S1HP2</t>
  </si>
  <si>
    <t>AEFE5C00S1HR2</t>
  </si>
  <si>
    <t>AEFE5C00S1HT2</t>
  </si>
  <si>
    <t>AEFE5C00S1HY2</t>
  </si>
  <si>
    <t>AEFE5D00S1HH2</t>
  </si>
  <si>
    <t>AEFE5D00S1HA2</t>
  </si>
  <si>
    <t>AEFE5D00S1HG2</t>
  </si>
  <si>
    <t>AEFE5D00S1HJ2</t>
  </si>
  <si>
    <t>AEFE5D00S1HN2</t>
  </si>
  <si>
    <t>AEFE5D00S1HP2</t>
  </si>
  <si>
    <t>AEFE5D00S1HR2</t>
  </si>
  <si>
    <t>AEFE5D00S1HT2</t>
  </si>
  <si>
    <t>AEFE5D00S1HY2</t>
  </si>
  <si>
    <t>AEF Series</t>
  </si>
  <si>
    <t>N/A</t>
  </si>
  <si>
    <t>Width</t>
  </si>
  <si>
    <t>Side Color</t>
  </si>
  <si>
    <t>Front Color</t>
  </si>
  <si>
    <t>Trane/American std.</t>
  </si>
  <si>
    <t>400 - 1200</t>
  </si>
  <si>
    <t>Blower Data: F.L.A.</t>
  </si>
  <si>
    <t>800 - 1600</t>
  </si>
  <si>
    <t>1000 - 1800</t>
  </si>
  <si>
    <t>1200 - 2000</t>
  </si>
  <si>
    <t>2</t>
  </si>
  <si>
    <t>3</t>
  </si>
  <si>
    <t>4+</t>
  </si>
  <si>
    <t>5*</t>
  </si>
  <si>
    <t>1.0</t>
  </si>
  <si>
    <t>AEFE3A*</t>
  </si>
  <si>
    <t>AEFE4B*</t>
  </si>
  <si>
    <t>AEFE5C*</t>
  </si>
  <si>
    <t>3_14.25_120 V, 60 Hz, 1 ph. (ECM only)_1</t>
  </si>
  <si>
    <t>3_14.25_120 V, 60 Hz, 1 ph. (ECM only)_2</t>
  </si>
  <si>
    <t>3_14.25_120 V, 60 Hz, 1 ph. (ECM only)_3</t>
  </si>
  <si>
    <t>3_14.25_120 V, 60 Hz, 1 ph. (ECM only)_4</t>
  </si>
  <si>
    <t>3_14.25_120 V, 60 Hz, 1 ph. (ECM only)_5</t>
  </si>
  <si>
    <t>4_17.5_120 V, 60 Hz, 1 ph. (ECM only)_1</t>
  </si>
  <si>
    <t>4_17.5_120 V, 60 Hz, 1 ph. (ECM only)_2</t>
  </si>
  <si>
    <t>4_17.5_120 V, 60 Hz, 1 ph. (ECM only)_3</t>
  </si>
  <si>
    <t>4_17.5_120 V, 60 Hz, 1 ph. (ECM only)_4</t>
  </si>
  <si>
    <t>4_17.5_120 V, 60 Hz, 1 ph. (ECM only)_5</t>
  </si>
  <si>
    <t>5_21_120 V, 60 Hz, 1 ph. (ECM only)_1</t>
  </si>
  <si>
    <t>5_21_120 V, 60 Hz, 1 ph. (ECM only)_2</t>
  </si>
  <si>
    <t>5_21_120 V, 60 Hz, 1 ph. (ECM only)_3</t>
  </si>
  <si>
    <t>5_21_120 V, 60 Hz, 1 ph. (ECM only)_4</t>
  </si>
  <si>
    <t>5_21_120 V, 60 Hz, 1 ph. (ECM only)_5</t>
  </si>
  <si>
    <t>5_24.5_120 V, 60 Hz, 1 ph. (ECM only)_1</t>
  </si>
  <si>
    <t>5_24.5_120 V, 60 Hz, 1 ph. (ECM only)_2</t>
  </si>
  <si>
    <t>5_24.5_120 V, 60 Hz, 1 ph. (ECM only)_3</t>
  </si>
  <si>
    <t>5_24.5_120 V, 60 Hz, 1 ph. (ECM only)_4</t>
  </si>
  <si>
    <t>5_24.5_120 V, 60 Hz, 1 ph. (ECM only)_5</t>
  </si>
  <si>
    <t>3_14.25</t>
  </si>
  <si>
    <t>4_17.5</t>
  </si>
  <si>
    <t>5_21</t>
  </si>
  <si>
    <t>5_24.5</t>
  </si>
  <si>
    <t>Inlet Width</t>
  </si>
  <si>
    <t>Outlet Width</t>
  </si>
  <si>
    <t>Cabinet Width (in)</t>
  </si>
  <si>
    <t>Inlet Width (in)</t>
  </si>
  <si>
    <t>Outlet Width (in)</t>
  </si>
  <si>
    <t xml:space="preserve">1. All data is given while modular blower is operating without a DX coil and without filter. </t>
  </si>
  <si>
    <t xml:space="preserve">2. Speed tap 3 is factory set cooling speed. </t>
  </si>
  <si>
    <t>3. Speed taps marked with an asterisk (*) denote highest cooling speeds.</t>
  </si>
  <si>
    <t>4. Speed taps marketed with a plus sign (+) denote highest heating speed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</si>
</sst>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
  </numFmts>
  <fonts count="44">
    <font>
      <sz val="10"/>
      <color theme="1"/>
      <name val="Century Gothic"/>
      <family val="2"/>
    </font>
    <font>
      <sz val="10"/>
      <color theme="1"/>
      <name val="Century Gothic"/>
      <family val="2"/>
    </font>
    <font>
      <sz val="10"/>
      <color theme="1"/>
      <name val="Calibri"/>
      <family val="2"/>
      <scheme val="minor"/>
    </font>
    <font>
      <b/>
      <sz val="10"/>
      <color theme="1"/>
      <name val="Calibri"/>
      <family val="2"/>
      <scheme val="minor"/>
    </font>
    <font>
      <b/>
      <sz val="11"/>
      <color theme="1"/>
      <name val="Calibri"/>
      <family val="2"/>
      <scheme val="minor"/>
    </font>
    <font>
      <sz val="14"/>
      <color theme="1"/>
      <name val="Calibri"/>
      <family val="2"/>
      <scheme val="minor"/>
    </font>
    <font>
      <b/>
      <sz val="10"/>
      <color theme="0"/>
      <name val="Calibri"/>
      <family val="2"/>
      <scheme val="minor"/>
    </font>
    <font>
      <sz val="10"/>
      <color theme="0"/>
      <name val="Calibri"/>
      <family val="2"/>
      <scheme val="minor"/>
    </font>
    <font>
      <sz val="8"/>
      <name val="Arial"/>
      <family val="2"/>
    </font>
    <font>
      <sz val="10"/>
      <name val="Arial"/>
      <family val="2"/>
    </font>
    <font>
      <b/>
      <i/>
      <sz val="18"/>
      <name val="Arial"/>
      <family val="2"/>
    </font>
    <font>
      <b/>
      <sz val="8"/>
      <name val="Arial"/>
      <family val="2"/>
    </font>
    <font>
      <sz val="12"/>
      <color indexed="8"/>
      <name val="Arial MT"/>
    </font>
    <font>
      <sz val="9"/>
      <name val="Arial"/>
      <family val="2"/>
    </font>
    <font>
      <sz val="10.5"/>
      <color theme="1"/>
      <name val="Calibri"/>
      <family val="2"/>
      <scheme val="minor"/>
    </font>
    <font>
      <sz val="10"/>
      <name val="Arial"/>
      <family val="2"/>
    </font>
    <font>
      <b/>
      <sz val="11"/>
      <color theme="1"/>
      <name val="Arial"/>
      <family val="2"/>
    </font>
    <font>
      <b/>
      <sz val="11"/>
      <name val="Arial"/>
      <family val="2"/>
    </font>
    <font>
      <sz val="8"/>
      <color theme="1"/>
      <name val="Arial"/>
      <family val="2"/>
    </font>
    <font>
      <b/>
      <sz val="8"/>
      <color theme="1"/>
      <name val="Arial"/>
      <family val="2"/>
    </font>
    <font>
      <sz val="11"/>
      <color rgb="FF000000"/>
      <name val="Arial"/>
      <family val="2"/>
    </font>
    <font>
      <sz val="9"/>
      <color theme="1"/>
      <name val="Arial"/>
      <family val="2"/>
    </font>
    <font>
      <sz val="10"/>
      <color theme="0"/>
      <name val="Century Gothic"/>
      <family val="2"/>
    </font>
    <font>
      <sz val="10"/>
      <name val="Century Gothic"/>
      <family val="2"/>
    </font>
    <font>
      <b/>
      <sz val="10"/>
      <color theme="1"/>
      <name val="Century Gothic"/>
      <family val="2"/>
    </font>
    <font>
      <sz val="8"/>
      <color theme="0"/>
      <name val="Arial"/>
      <family val="2"/>
    </font>
    <font>
      <b/>
      <sz val="9"/>
      <name val="Arial"/>
      <family val="2"/>
    </font>
    <font>
      <b/>
      <i/>
      <sz val="9"/>
      <name val="Arial"/>
      <family val="2"/>
    </font>
    <font>
      <b/>
      <sz val="10"/>
      <name val="Arial"/>
      <family val="2"/>
    </font>
    <font>
      <b/>
      <sz val="9"/>
      <color theme="0"/>
      <name val="Arial"/>
      <family val="2"/>
    </font>
    <font>
      <sz val="8"/>
      <name val="Century Gothic"/>
      <family val="2"/>
    </font>
    <font>
      <b/>
      <sz val="8"/>
      <color rgb="FF000000"/>
      <name val="Arial"/>
      <family val="2"/>
    </font>
    <font>
      <sz val="8"/>
      <color theme="1"/>
      <name val="Calibri"/>
      <family val="2"/>
      <scheme val="minor"/>
    </font>
    <font>
      <b/>
      <sz val="8"/>
      <color theme="1"/>
      <name val="Calibri"/>
      <family val="2"/>
      <scheme val="minor"/>
    </font>
    <font>
      <sz val="8"/>
      <color theme="0"/>
      <name val="Calibri"/>
      <family val="2"/>
      <scheme val="minor"/>
    </font>
    <font>
      <b/>
      <sz val="8"/>
      <color theme="0"/>
      <name val="Arial"/>
      <family val="2"/>
    </font>
    <font>
      <b/>
      <i/>
      <sz val="8"/>
      <color theme="1"/>
      <name val="Calibri"/>
      <family val="2"/>
      <scheme val="minor"/>
    </font>
    <font>
      <b/>
      <i/>
      <sz val="8"/>
      <color theme="0"/>
      <name val="Arial"/>
      <family val="2"/>
    </font>
    <font>
      <sz val="8"/>
      <color theme="1"/>
      <name val="Century Gothic"/>
      <family val="2"/>
    </font>
    <font>
      <i/>
      <sz val="8"/>
      <color theme="1"/>
      <name val="Calibri"/>
      <family val="2"/>
      <scheme val="minor"/>
    </font>
    <font>
      <b/>
      <sz val="11"/>
      <color theme="0"/>
      <name val="Calibri"/>
      <family val="2"/>
      <scheme val="minor"/>
    </font>
    <font>
      <b/>
      <sz val="8"/>
      <color theme="1"/>
      <name val="Century Gothic"/>
      <family val="2"/>
    </font>
    <font>
      <b/>
      <sz val="9"/>
      <color theme="0"/>
      <name val="Calibri"/>
      <family val="2"/>
      <scheme val="minor"/>
    </font>
    <font>
      <vertAlign val="superscript"/>
      <sz val="14"/>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0" tint="-0.249977111117893"/>
        <bgColor indexed="64"/>
      </patternFill>
    </fill>
    <fill>
      <patternFill patternType="solid">
        <fgColor theme="0" tint="-0.14999847407452621"/>
        <bgColor indexed="64"/>
      </patternFill>
    </fill>
  </fills>
  <borders count="39">
    <border>
      <left/>
      <right/>
      <top/>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thin">
        <color auto="1"/>
      </left>
      <right style="hair">
        <color auto="1"/>
      </right>
      <top style="thin">
        <color auto="1"/>
      </top>
      <bottom/>
      <diagonal/>
    </border>
    <border>
      <left style="thin">
        <color auto="1"/>
      </left>
      <right style="hair">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auto="1"/>
      </top>
      <bottom style="hair">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medium">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theme="3"/>
      </left>
      <right/>
      <top style="thin">
        <color theme="3"/>
      </top>
      <bottom style="thin">
        <color theme="3"/>
      </bottom>
      <diagonal/>
    </border>
    <border>
      <left/>
      <right/>
      <top style="thin">
        <color theme="3"/>
      </top>
      <bottom style="thin">
        <color theme="3"/>
      </bottom>
      <diagonal/>
    </border>
    <border>
      <left/>
      <right/>
      <top style="hair">
        <color indexed="64"/>
      </top>
      <bottom style="hair">
        <color indexed="64"/>
      </bottom>
      <diagonal/>
    </border>
    <border>
      <left style="hair">
        <color auto="1"/>
      </left>
      <right/>
      <top style="thin">
        <color auto="1"/>
      </top>
      <bottom style="hair">
        <color auto="1"/>
      </bottom>
      <diagonal/>
    </border>
    <border>
      <left/>
      <right/>
      <top style="thin">
        <color indexed="64"/>
      </top>
      <bottom/>
      <diagonal/>
    </border>
    <border>
      <left style="hair">
        <color auto="1"/>
      </left>
      <right/>
      <top style="hair">
        <color auto="1"/>
      </top>
      <bottom style="thin">
        <color auto="1"/>
      </bottom>
      <diagonal/>
    </border>
    <border>
      <left style="thin">
        <color auto="1"/>
      </left>
      <right style="thin">
        <color indexed="64"/>
      </right>
      <top style="hair">
        <color auto="1"/>
      </top>
      <bottom style="hair">
        <color auto="1"/>
      </bottom>
      <diagonal/>
    </border>
    <border>
      <left style="thin">
        <color indexed="64"/>
      </left>
      <right/>
      <top/>
      <bottom/>
      <diagonal/>
    </border>
    <border>
      <left style="thin">
        <color indexed="64"/>
      </left>
      <right style="thin">
        <color indexed="64"/>
      </right>
      <top/>
      <bottom/>
      <diagonal/>
    </border>
    <border>
      <left style="thin">
        <color theme="0"/>
      </left>
      <right/>
      <top/>
      <bottom/>
      <diagonal/>
    </border>
    <border>
      <left style="thin">
        <color theme="0"/>
      </left>
      <right style="thin">
        <color theme="0"/>
      </right>
      <top/>
      <bottom/>
      <diagonal/>
    </border>
    <border>
      <left/>
      <right style="thin">
        <color theme="0"/>
      </right>
      <top/>
      <bottom/>
      <diagonal/>
    </border>
    <border>
      <left style="hair">
        <color auto="1"/>
      </left>
      <right style="hair">
        <color auto="1"/>
      </right>
      <top style="hair">
        <color auto="1"/>
      </top>
      <bottom style="hair">
        <color auto="1"/>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auto="1"/>
      </left>
      <right style="hair">
        <color auto="1"/>
      </right>
      <top/>
      <bottom/>
      <diagonal/>
    </border>
    <border>
      <left style="hair">
        <color auto="1"/>
      </left>
      <right/>
      <top/>
      <bottom/>
      <diagonal/>
    </border>
    <border>
      <left style="thin">
        <color indexed="64"/>
      </left>
      <right/>
      <top style="thin">
        <color indexed="64"/>
      </top>
      <bottom/>
      <diagonal/>
    </border>
    <border>
      <left/>
      <right style="thin">
        <color indexed="64"/>
      </right>
      <top style="thin">
        <color indexed="64"/>
      </top>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s>
  <cellStyleXfs count="10">
    <xf numFmtId="0" fontId="0" fillId="0" borderId="0"/>
    <xf numFmtId="0" fontId="1" fillId="0" borderId="0"/>
    <xf numFmtId="0" fontId="9" fillId="0" borderId="0"/>
    <xf numFmtId="43" fontId="9" fillId="0" borderId="0" applyFont="0" applyFill="0" applyBorder="0" applyAlignment="0" applyProtection="0"/>
    <xf numFmtId="0" fontId="9" fillId="0" borderId="0"/>
    <xf numFmtId="44" fontId="9" fillId="0" borderId="0" applyFont="0" applyFill="0" applyBorder="0" applyAlignment="0" applyProtection="0"/>
    <xf numFmtId="0" fontId="12" fillId="0" borderId="0"/>
    <xf numFmtId="0" fontId="9" fillId="0" borderId="0"/>
    <xf numFmtId="0" fontId="15" fillId="0" borderId="0"/>
    <xf numFmtId="0" fontId="9" fillId="0" borderId="0"/>
  </cellStyleXfs>
  <cellXfs count="169">
    <xf numFmtId="0" fontId="0" fillId="0" borderId="0" xfId="0"/>
    <xf numFmtId="0" fontId="2" fillId="0" borderId="0" xfId="0" applyFont="1"/>
    <xf numFmtId="0" fontId="3" fillId="0" borderId="0" xfId="0" applyFont="1"/>
    <xf numFmtId="0" fontId="4" fillId="0" borderId="0" xfId="0" applyFont="1" applyAlignment="1">
      <alignment horizontal="right"/>
    </xf>
    <xf numFmtId="0" fontId="3" fillId="0" borderId="10" xfId="0" applyFont="1" applyBorder="1" applyAlignment="1">
      <alignment horizontal="left" indent="1"/>
    </xf>
    <xf numFmtId="0" fontId="3" fillId="0" borderId="11" xfId="0" applyFont="1" applyBorder="1" applyAlignment="1">
      <alignment horizontal="left" indent="1"/>
    </xf>
    <xf numFmtId="0" fontId="2" fillId="0" borderId="12" xfId="0" applyFont="1" applyBorder="1"/>
    <xf numFmtId="0" fontId="5" fillId="0" borderId="12" xfId="0" applyFont="1" applyBorder="1" applyAlignment="1">
      <alignment horizontal="right"/>
    </xf>
    <xf numFmtId="0" fontId="2" fillId="0" borderId="0" xfId="0" applyFont="1" applyAlignment="1">
      <alignment horizontal="left" indent="1"/>
    </xf>
    <xf numFmtId="0" fontId="6" fillId="3" borderId="17" xfId="0" applyFont="1" applyFill="1" applyBorder="1"/>
    <xf numFmtId="0" fontId="7" fillId="3" borderId="18" xfId="0" applyFont="1" applyFill="1" applyBorder="1"/>
    <xf numFmtId="0" fontId="8" fillId="2" borderId="2" xfId="2" applyFont="1" applyFill="1" applyBorder="1" applyAlignment="1">
      <alignment horizontal="center" vertical="center"/>
    </xf>
    <xf numFmtId="0" fontId="10" fillId="2" borderId="0" xfId="2" applyFont="1" applyFill="1" applyAlignment="1">
      <alignment vertical="center"/>
    </xf>
    <xf numFmtId="0" fontId="10" fillId="2" borderId="14" xfId="2" applyFont="1" applyFill="1" applyBorder="1" applyAlignment="1">
      <alignment vertical="center"/>
    </xf>
    <xf numFmtId="0" fontId="10" fillId="2" borderId="10" xfId="2" applyFont="1" applyFill="1" applyBorder="1" applyAlignment="1">
      <alignment vertical="center"/>
    </xf>
    <xf numFmtId="0" fontId="10" fillId="2" borderId="9" xfId="2" applyFont="1" applyFill="1" applyBorder="1" applyAlignment="1">
      <alignment vertical="center"/>
    </xf>
    <xf numFmtId="0" fontId="11" fillId="2" borderId="8" xfId="2" applyFont="1" applyFill="1" applyBorder="1" applyAlignment="1">
      <alignment vertical="center"/>
    </xf>
    <xf numFmtId="0" fontId="11" fillId="2" borderId="6" xfId="2" applyFont="1" applyFill="1" applyBorder="1" applyAlignment="1">
      <alignment vertical="center"/>
    </xf>
    <xf numFmtId="0" fontId="2" fillId="0" borderId="21" xfId="0" applyFont="1" applyBorder="1"/>
    <xf numFmtId="0" fontId="11" fillId="2" borderId="19" xfId="2" applyFont="1" applyFill="1" applyBorder="1" applyAlignment="1">
      <alignment vertical="center"/>
    </xf>
    <xf numFmtId="0" fontId="11" fillId="2" borderId="20" xfId="2" applyFont="1" applyFill="1" applyBorder="1" applyAlignment="1">
      <alignment vertical="center"/>
    </xf>
    <xf numFmtId="0" fontId="11" fillId="2" borderId="22" xfId="2" applyFont="1" applyFill="1" applyBorder="1" applyAlignment="1">
      <alignment vertical="center"/>
    </xf>
    <xf numFmtId="0" fontId="11" fillId="2" borderId="11" xfId="2" applyFont="1" applyFill="1" applyBorder="1" applyAlignment="1">
      <alignment vertical="center"/>
    </xf>
    <xf numFmtId="0" fontId="8" fillId="2" borderId="3" xfId="2" applyFont="1" applyFill="1" applyBorder="1" applyAlignment="1">
      <alignment horizontal="center" vertical="center"/>
    </xf>
    <xf numFmtId="0" fontId="7" fillId="3" borderId="0" xfId="0" applyFont="1" applyFill="1"/>
    <xf numFmtId="0" fontId="2" fillId="0" borderId="10" xfId="0" applyFont="1" applyBorder="1" applyProtection="1">
      <protection locked="0"/>
    </xf>
    <xf numFmtId="0" fontId="2" fillId="0" borderId="11" xfId="0" applyFont="1" applyBorder="1" applyProtection="1">
      <protection locked="0"/>
    </xf>
    <xf numFmtId="2" fontId="8" fillId="2" borderId="1" xfId="2" quotePrefix="1" applyNumberFormat="1" applyFont="1" applyFill="1" applyBorder="1" applyAlignment="1">
      <alignment horizontal="center" vertical="center"/>
    </xf>
    <xf numFmtId="0" fontId="3" fillId="4" borderId="13" xfId="0" applyFont="1" applyFill="1" applyBorder="1" applyAlignment="1" applyProtection="1">
      <alignment horizontal="center" vertical="center"/>
      <protection locked="0"/>
    </xf>
    <xf numFmtId="0" fontId="14" fillId="0" borderId="0" xfId="0" applyFont="1" applyAlignment="1">
      <alignment horizontal="left" indent="1"/>
    </xf>
    <xf numFmtId="0" fontId="8" fillId="2" borderId="0" xfId="0" quotePrefix="1" applyFont="1" applyFill="1" applyAlignment="1">
      <alignment horizontal="left"/>
    </xf>
    <xf numFmtId="49" fontId="13" fillId="2" borderId="0" xfId="0" applyNumberFormat="1" applyFont="1" applyFill="1" applyAlignment="1">
      <alignment vertical="center"/>
    </xf>
    <xf numFmtId="49" fontId="18" fillId="2" borderId="0" xfId="0" applyNumberFormat="1" applyFont="1" applyFill="1" applyAlignment="1">
      <alignment vertical="center"/>
    </xf>
    <xf numFmtId="49" fontId="18" fillId="2" borderId="0" xfId="0" applyNumberFormat="1" applyFont="1" applyFill="1" applyAlignment="1">
      <alignment horizontal="center" vertical="center"/>
    </xf>
    <xf numFmtId="49" fontId="19" fillId="2" borderId="0" xfId="0" applyNumberFormat="1" applyFont="1" applyFill="1"/>
    <xf numFmtId="0" fontId="21" fillId="0" borderId="0" xfId="0" applyFont="1"/>
    <xf numFmtId="49" fontId="18" fillId="2" borderId="0" xfId="0" applyNumberFormat="1" applyFont="1" applyFill="1"/>
    <xf numFmtId="49" fontId="18" fillId="2" borderId="0" xfId="0" applyNumberFormat="1" applyFont="1" applyFill="1" applyAlignment="1">
      <alignment horizontal="center"/>
    </xf>
    <xf numFmtId="49" fontId="19" fillId="2" borderId="0" xfId="0" applyNumberFormat="1" applyFont="1" applyFill="1" applyAlignment="1">
      <alignment vertical="center"/>
    </xf>
    <xf numFmtId="0" fontId="21" fillId="2" borderId="0" xfId="0" applyFont="1" applyFill="1"/>
    <xf numFmtId="49" fontId="19" fillId="2" borderId="0" xfId="0" applyNumberFormat="1" applyFont="1" applyFill="1" applyAlignment="1">
      <alignment horizontal="center" vertical="center"/>
    </xf>
    <xf numFmtId="0" fontId="8" fillId="0" borderId="0" xfId="0" applyFont="1"/>
    <xf numFmtId="0" fontId="20" fillId="0" borderId="0" xfId="0" applyFont="1"/>
    <xf numFmtId="0" fontId="18" fillId="2" borderId="0" xfId="0" applyFont="1" applyFill="1"/>
    <xf numFmtId="0" fontId="0" fillId="0" borderId="24" xfId="0" applyBorder="1" applyAlignment="1">
      <alignment horizontal="center" vertical="center"/>
    </xf>
    <xf numFmtId="0" fontId="0" fillId="0" borderId="24" xfId="0" applyBorder="1"/>
    <xf numFmtId="0" fontId="24" fillId="0" borderId="24" xfId="0" applyFont="1" applyBorder="1" applyAlignment="1">
      <alignment horizontal="center" vertical="top"/>
    </xf>
    <xf numFmtId="0" fontId="0" fillId="0" borderId="0" xfId="0" applyAlignment="1">
      <alignment horizontal="left" vertical="top" wrapText="1"/>
    </xf>
    <xf numFmtId="49" fontId="24" fillId="0" borderId="24" xfId="0" applyNumberFormat="1" applyFont="1" applyBorder="1" applyAlignment="1">
      <alignment horizontal="center" vertical="top" wrapText="1"/>
    </xf>
    <xf numFmtId="0" fontId="0" fillId="0" borderId="0" xfId="0" applyAlignment="1">
      <alignment horizontal="left" vertical="top"/>
    </xf>
    <xf numFmtId="0" fontId="0" fillId="0" borderId="24" xfId="0" applyBorder="1" applyAlignment="1">
      <alignment horizontal="left" vertical="top" wrapText="1"/>
    </xf>
    <xf numFmtId="49" fontId="24" fillId="0" borderId="24" xfId="0" applyNumberFormat="1" applyFont="1" applyBorder="1" applyAlignment="1">
      <alignment horizontal="left" vertical="top"/>
    </xf>
    <xf numFmtId="0" fontId="0" fillId="0" borderId="25" xfId="0" applyBorder="1"/>
    <xf numFmtId="0" fontId="0" fillId="0" borderId="26" xfId="0" applyBorder="1"/>
    <xf numFmtId="0" fontId="23" fillId="5" borderId="27" xfId="0" applyFont="1" applyFill="1" applyBorder="1" applyAlignment="1">
      <alignment horizontal="center" vertical="center"/>
    </xf>
    <xf numFmtId="0" fontId="22" fillId="3" borderId="0" xfId="0" applyFont="1" applyFill="1" applyAlignment="1">
      <alignment horizontal="center" vertical="center"/>
    </xf>
    <xf numFmtId="0" fontId="9" fillId="0" borderId="0" xfId="4"/>
    <xf numFmtId="0" fontId="13" fillId="2" borderId="29" xfId="4" applyFont="1" applyFill="1" applyBorder="1" applyAlignment="1">
      <alignment horizontal="center" vertical="center"/>
    </xf>
    <xf numFmtId="0" fontId="0" fillId="0" borderId="14" xfId="0" applyBorder="1"/>
    <xf numFmtId="0" fontId="11" fillId="2" borderId="7" xfId="2" applyFont="1" applyFill="1" applyBorder="1" applyAlignment="1">
      <alignment vertical="center"/>
    </xf>
    <xf numFmtId="0" fontId="8" fillId="2" borderId="6" xfId="2" applyFont="1" applyFill="1" applyBorder="1" applyAlignment="1">
      <alignment horizontal="center" vertical="center"/>
    </xf>
    <xf numFmtId="0" fontId="11" fillId="2" borderId="30" xfId="2" applyFont="1" applyFill="1" applyBorder="1" applyAlignment="1">
      <alignment vertical="center"/>
    </xf>
    <xf numFmtId="0" fontId="11" fillId="2" borderId="10" xfId="2" applyFont="1" applyFill="1" applyBorder="1" applyAlignment="1">
      <alignment vertical="center"/>
    </xf>
    <xf numFmtId="0" fontId="8" fillId="2" borderId="30" xfId="2" applyFont="1" applyFill="1" applyBorder="1" applyAlignment="1">
      <alignment horizontal="center" vertical="center"/>
    </xf>
    <xf numFmtId="0" fontId="11" fillId="2" borderId="33" xfId="2" applyFont="1" applyFill="1" applyBorder="1" applyAlignment="1">
      <alignment vertical="center"/>
    </xf>
    <xf numFmtId="2" fontId="8" fillId="2" borderId="32" xfId="2" quotePrefix="1" applyNumberFormat="1" applyFont="1" applyFill="1" applyBorder="1" applyAlignment="1">
      <alignment horizontal="center" vertical="center"/>
    </xf>
    <xf numFmtId="0" fontId="0" fillId="0" borderId="0" xfId="0" applyAlignment="1">
      <alignment horizontal="center"/>
    </xf>
    <xf numFmtId="0" fontId="32" fillId="0" borderId="0" xfId="0" applyFont="1"/>
    <xf numFmtId="0" fontId="32" fillId="0" borderId="0" xfId="0" applyFont="1" applyAlignment="1">
      <alignment horizontal="left" indent="1"/>
    </xf>
    <xf numFmtId="0" fontId="36" fillId="0" borderId="0" xfId="0" applyFont="1"/>
    <xf numFmtId="0" fontId="38" fillId="0" borderId="0" xfId="0" applyFont="1" applyAlignment="1">
      <alignment horizontal="center" vertical="top"/>
    </xf>
    <xf numFmtId="1" fontId="38" fillId="0" borderId="0" xfId="0" applyNumberFormat="1" applyFont="1" applyAlignment="1">
      <alignment horizontal="center" vertical="top"/>
    </xf>
    <xf numFmtId="164" fontId="38" fillId="0" borderId="0" xfId="0" applyNumberFormat="1" applyFont="1" applyAlignment="1">
      <alignment horizontal="center" vertical="top"/>
    </xf>
    <xf numFmtId="0" fontId="36" fillId="0" borderId="0" xfId="0" applyFont="1" applyAlignment="1">
      <alignment horizontal="center" vertical="top"/>
    </xf>
    <xf numFmtId="0" fontId="38" fillId="0" borderId="0" xfId="0" applyFont="1" applyAlignment="1">
      <alignment vertical="center" wrapText="1"/>
    </xf>
    <xf numFmtId="0" fontId="9" fillId="0" borderId="0" xfId="4" applyAlignment="1">
      <alignment wrapText="1"/>
    </xf>
    <xf numFmtId="0" fontId="0" fillId="0" borderId="0" xfId="0" applyAlignment="1">
      <alignment wrapText="1"/>
    </xf>
    <xf numFmtId="0" fontId="28" fillId="0" borderId="0" xfId="4" applyFont="1" applyAlignment="1">
      <alignment horizontal="center" vertical="center" wrapText="1"/>
    </xf>
    <xf numFmtId="0" fontId="26" fillId="0" borderId="0" xfId="4" applyFont="1" applyAlignment="1">
      <alignment horizontal="center" vertical="center" wrapText="1"/>
    </xf>
    <xf numFmtId="0" fontId="29" fillId="0" borderId="0" xfId="4" applyFont="1" applyAlignment="1">
      <alignment vertical="center" wrapText="1"/>
    </xf>
    <xf numFmtId="0" fontId="24" fillId="5" borderId="0" xfId="0" applyFont="1" applyFill="1"/>
    <xf numFmtId="0" fontId="26" fillId="5" borderId="0" xfId="4" applyFont="1" applyFill="1" applyAlignment="1">
      <alignment horizontal="center" vertical="center"/>
    </xf>
    <xf numFmtId="0" fontId="27" fillId="2" borderId="29" xfId="4" applyFont="1" applyFill="1" applyBorder="1" applyAlignment="1">
      <alignment horizontal="center" vertical="center"/>
    </xf>
    <xf numFmtId="0" fontId="31" fillId="0" borderId="0" xfId="0" applyFont="1" applyAlignment="1">
      <alignment vertical="center"/>
    </xf>
    <xf numFmtId="0" fontId="11" fillId="2" borderId="0" xfId="4" applyFont="1" applyFill="1" applyAlignment="1">
      <alignment horizontal="center" vertical="center"/>
    </xf>
    <xf numFmtId="0" fontId="8" fillId="2" borderId="0" xfId="4" applyFont="1" applyFill="1" applyAlignment="1">
      <alignment horizontal="center" vertical="center"/>
    </xf>
    <xf numFmtId="0" fontId="11" fillId="0" borderId="0" xfId="4" applyFont="1" applyAlignment="1">
      <alignment horizontal="center" vertical="center"/>
    </xf>
    <xf numFmtId="0" fontId="2" fillId="0" borderId="10" xfId="0" applyFont="1" applyBorder="1"/>
    <xf numFmtId="0" fontId="32" fillId="0" borderId="21" xfId="0" applyFont="1" applyBorder="1"/>
    <xf numFmtId="0" fontId="32" fillId="0" borderId="21" xfId="0" applyFont="1" applyBorder="1" applyAlignment="1">
      <alignment horizontal="left" indent="1"/>
    </xf>
    <xf numFmtId="0" fontId="32" fillId="0" borderId="34" xfId="0" applyFont="1" applyBorder="1"/>
    <xf numFmtId="0" fontId="32" fillId="0" borderId="24" xfId="0" applyFont="1" applyBorder="1"/>
    <xf numFmtId="0" fontId="8" fillId="2" borderId="24" xfId="0" quotePrefix="1" applyFont="1" applyFill="1" applyBorder="1" applyAlignment="1">
      <alignment horizontal="left"/>
    </xf>
    <xf numFmtId="0" fontId="36" fillId="0" borderId="24" xfId="0" applyFont="1" applyBorder="1"/>
    <xf numFmtId="0" fontId="32" fillId="0" borderId="30" xfId="0" applyFont="1" applyBorder="1"/>
    <xf numFmtId="49" fontId="25" fillId="0" borderId="0" xfId="0" quotePrefix="1" applyNumberFormat="1" applyFont="1" applyAlignment="1">
      <alignment vertical="center"/>
    </xf>
    <xf numFmtId="49" fontId="25" fillId="0" borderId="0" xfId="0" applyNumberFormat="1" applyFont="1" applyAlignment="1">
      <alignment vertical="center"/>
    </xf>
    <xf numFmtId="0" fontId="33" fillId="0" borderId="0" xfId="0" applyFont="1" applyAlignment="1">
      <alignment horizontal="center" vertical="center"/>
    </xf>
    <xf numFmtId="0" fontId="33" fillId="0" borderId="0" xfId="0" applyFont="1" applyAlignment="1">
      <alignment horizontal="left" indent="1"/>
    </xf>
    <xf numFmtId="0" fontId="8" fillId="0" borderId="0" xfId="4" applyFont="1" applyAlignment="1">
      <alignment horizontal="center" vertical="center"/>
    </xf>
    <xf numFmtId="0" fontId="32" fillId="0" borderId="10" xfId="0" applyFont="1" applyBorder="1"/>
    <xf numFmtId="0" fontId="32" fillId="0" borderId="0" xfId="0" applyFont="1" applyAlignment="1">
      <alignment horizontal="center" vertical="center"/>
    </xf>
    <xf numFmtId="0" fontId="34" fillId="0" borderId="0" xfId="0" applyFont="1"/>
    <xf numFmtId="0" fontId="8" fillId="2" borderId="23" xfId="2" applyFont="1" applyFill="1" applyBorder="1" applyAlignment="1">
      <alignment horizontal="center" vertical="center"/>
    </xf>
    <xf numFmtId="2" fontId="8" fillId="2" borderId="15" xfId="2" quotePrefix="1" applyNumberFormat="1" applyFont="1" applyFill="1" applyBorder="1" applyAlignment="1">
      <alignment horizontal="center" vertical="center"/>
    </xf>
    <xf numFmtId="2" fontId="8" fillId="2" borderId="25" xfId="2" quotePrefix="1" applyNumberFormat="1" applyFont="1" applyFill="1" applyBorder="1" applyAlignment="1">
      <alignment horizontal="center" vertical="center"/>
    </xf>
    <xf numFmtId="0" fontId="8" fillId="2" borderId="16" xfId="2" applyFont="1" applyFill="1" applyBorder="1" applyAlignment="1">
      <alignment horizontal="center" vertical="center"/>
    </xf>
    <xf numFmtId="0" fontId="8" fillId="2" borderId="13" xfId="2" applyFont="1" applyFill="1" applyBorder="1" applyAlignment="1">
      <alignment horizontal="center" vertical="center"/>
    </xf>
    <xf numFmtId="0" fontId="8" fillId="2" borderId="31" xfId="2" applyFont="1" applyFill="1" applyBorder="1" applyAlignment="1">
      <alignment horizontal="center" vertical="center"/>
    </xf>
    <xf numFmtId="0" fontId="2" fillId="0" borderId="0" xfId="0" applyFont="1" applyAlignment="1">
      <alignment horizontal="center"/>
    </xf>
    <xf numFmtId="49" fontId="22" fillId="3" borderId="0" xfId="0" applyNumberFormat="1" applyFont="1" applyFill="1" applyAlignment="1">
      <alignment horizontal="center" vertical="center"/>
    </xf>
    <xf numFmtId="0" fontId="23" fillId="5" borderId="26" xfId="0" applyFont="1" applyFill="1" applyBorder="1" applyAlignment="1">
      <alignment horizontal="center" vertical="center" wrapText="1"/>
    </xf>
    <xf numFmtId="0" fontId="11" fillId="0" borderId="0" xfId="0" applyFont="1" applyAlignment="1">
      <alignment horizontal="center" vertical="center"/>
    </xf>
    <xf numFmtId="0" fontId="0" fillId="0" borderId="0" xfId="0" applyAlignment="1">
      <alignment vertical="top" wrapText="1"/>
    </xf>
    <xf numFmtId="49" fontId="24" fillId="0" borderId="24" xfId="0" applyNumberFormat="1" applyFont="1" applyBorder="1" applyAlignment="1">
      <alignment vertical="top" wrapText="1"/>
    </xf>
    <xf numFmtId="0" fontId="0" fillId="0" borderId="14" xfId="0" applyBorder="1" applyAlignment="1">
      <alignment horizontal="left" vertical="top" wrapText="1"/>
    </xf>
    <xf numFmtId="49" fontId="24" fillId="0" borderId="0" xfId="0" applyNumberFormat="1" applyFont="1" applyAlignment="1">
      <alignment horizontal="left" vertical="top"/>
    </xf>
    <xf numFmtId="0" fontId="0" fillId="0" borderId="25" xfId="0" applyBorder="1" applyAlignment="1">
      <alignment horizontal="left" vertical="top" wrapText="1"/>
    </xf>
    <xf numFmtId="49" fontId="0" fillId="0" borderId="0" xfId="0" applyNumberFormat="1"/>
    <xf numFmtId="0" fontId="40" fillId="0" borderId="0" xfId="0" applyFont="1" applyAlignment="1">
      <alignment vertical="center"/>
    </xf>
    <xf numFmtId="0" fontId="3" fillId="0" borderId="0" xfId="0" applyFont="1" applyAlignment="1">
      <alignment horizontal="center" vertical="center"/>
    </xf>
    <xf numFmtId="0" fontId="2" fillId="0" borderId="35" xfId="0" applyFont="1" applyBorder="1"/>
    <xf numFmtId="49" fontId="37" fillId="0" borderId="0" xfId="0" applyNumberFormat="1" applyFont="1" applyAlignment="1">
      <alignment horizontal="left" vertical="center"/>
    </xf>
    <xf numFmtId="0" fontId="25" fillId="0" borderId="0" xfId="0" applyFont="1"/>
    <xf numFmtId="0" fontId="25" fillId="0" borderId="0" xfId="0" applyFont="1" applyAlignment="1">
      <alignment vertical="center"/>
    </xf>
    <xf numFmtId="0" fontId="2" fillId="0" borderId="14" xfId="0" applyFont="1" applyBorder="1"/>
    <xf numFmtId="0" fontId="38" fillId="0" borderId="0" xfId="0" applyFont="1" applyAlignment="1">
      <alignment horizontal="center" vertical="top" wrapText="1"/>
    </xf>
    <xf numFmtId="0" fontId="38" fillId="0" borderId="0" xfId="0" applyFont="1" applyAlignment="1">
      <alignment vertical="center"/>
    </xf>
    <xf numFmtId="0" fontId="39" fillId="0" borderId="0" xfId="0" applyFont="1" applyAlignment="1">
      <alignment horizontal="center" vertical="top"/>
    </xf>
    <xf numFmtId="0" fontId="41" fillId="0" borderId="0" xfId="0" applyFont="1" applyAlignment="1">
      <alignment vertical="center" wrapText="1"/>
    </xf>
    <xf numFmtId="0" fontId="2" fillId="0" borderId="9" xfId="0" applyFont="1" applyBorder="1"/>
    <xf numFmtId="0" fontId="33" fillId="0" borderId="0" xfId="0" applyFont="1" applyAlignment="1">
      <alignment vertical="center"/>
    </xf>
    <xf numFmtId="0" fontId="11" fillId="0" borderId="0" xfId="0" applyFont="1" applyAlignment="1">
      <alignment vertical="center"/>
    </xf>
    <xf numFmtId="0" fontId="11" fillId="0" borderId="0" xfId="0" applyFont="1" applyAlignment="1">
      <alignment vertical="center" wrapText="1"/>
    </xf>
    <xf numFmtId="0" fontId="33" fillId="0" borderId="0" xfId="0" applyFont="1" applyAlignment="1">
      <alignment vertical="center" wrapText="1"/>
    </xf>
    <xf numFmtId="0" fontId="32" fillId="0" borderId="14" xfId="0" applyFont="1" applyBorder="1"/>
    <xf numFmtId="0" fontId="38" fillId="0" borderId="14" xfId="0" applyFont="1" applyBorder="1" applyAlignment="1">
      <alignment vertical="center" wrapText="1"/>
    </xf>
    <xf numFmtId="0" fontId="42" fillId="0" borderId="0" xfId="0" applyFont="1" applyAlignment="1">
      <alignment vertical="center"/>
    </xf>
    <xf numFmtId="0" fontId="32" fillId="0" borderId="0" xfId="0" quotePrefix="1" applyFont="1"/>
    <xf numFmtId="0" fontId="32" fillId="0" borderId="10" xfId="0" quotePrefix="1" applyFont="1" applyBorder="1"/>
    <xf numFmtId="0" fontId="6" fillId="3" borderId="6" xfId="0" applyFont="1" applyFill="1" applyBorder="1" applyAlignment="1">
      <alignment horizontal="center"/>
    </xf>
    <xf numFmtId="0" fontId="6" fillId="3" borderId="11" xfId="0" applyFont="1" applyFill="1" applyBorder="1" applyAlignment="1">
      <alignment horizontal="center"/>
    </xf>
    <xf numFmtId="0" fontId="6" fillId="3" borderId="7" xfId="0" applyFont="1" applyFill="1" applyBorder="1" applyAlignment="1">
      <alignment horizontal="center"/>
    </xf>
    <xf numFmtId="0" fontId="11" fillId="2" borderId="4" xfId="2" applyFont="1" applyFill="1" applyBorder="1" applyAlignment="1">
      <alignment horizontal="center" vertical="center" wrapText="1"/>
    </xf>
    <xf numFmtId="0" fontId="11" fillId="2" borderId="32" xfId="2" applyFont="1" applyFill="1" applyBorder="1" applyAlignment="1">
      <alignment horizontal="center" vertical="center" wrapText="1"/>
    </xf>
    <xf numFmtId="0" fontId="11" fillId="2" borderId="5" xfId="2" applyFont="1" applyFill="1" applyBorder="1" applyAlignment="1">
      <alignment horizontal="center" vertical="center" wrapText="1"/>
    </xf>
    <xf numFmtId="0" fontId="3" fillId="0" borderId="0" xfId="0" applyFont="1" applyAlignment="1">
      <alignment horizontal="center"/>
    </xf>
    <xf numFmtId="0" fontId="42" fillId="3" borderId="13" xfId="0" applyFont="1" applyFill="1" applyBorder="1" applyAlignment="1">
      <alignment horizontal="center" vertical="center"/>
    </xf>
    <xf numFmtId="0" fontId="8" fillId="2" borderId="21" xfId="4" applyFont="1" applyFill="1" applyBorder="1" applyAlignment="1">
      <alignment horizontal="center" vertical="center" wrapText="1"/>
    </xf>
    <xf numFmtId="0" fontId="2" fillId="0" borderId="0" xfId="0" applyFont="1" applyAlignment="1">
      <alignment horizontal="center"/>
    </xf>
    <xf numFmtId="0" fontId="11" fillId="2" borderId="0" xfId="4" applyFont="1" applyFill="1" applyAlignment="1">
      <alignment horizontal="center" vertical="center" wrapText="1"/>
    </xf>
    <xf numFmtId="0" fontId="40" fillId="3" borderId="0" xfId="0" applyFont="1" applyFill="1" applyAlignment="1">
      <alignment horizontal="center" vertical="center"/>
    </xf>
    <xf numFmtId="0" fontId="3" fillId="5" borderId="0" xfId="0" applyFont="1" applyFill="1" applyAlignment="1">
      <alignment horizontal="center" vertical="center"/>
    </xf>
    <xf numFmtId="0" fontId="33" fillId="5" borderId="13" xfId="0" applyFont="1" applyFill="1" applyBorder="1" applyAlignment="1">
      <alignment horizontal="center" vertical="center"/>
    </xf>
    <xf numFmtId="0" fontId="33" fillId="0" borderId="0" xfId="0" applyFont="1" applyAlignment="1">
      <alignment horizontal="center" vertical="center"/>
    </xf>
    <xf numFmtId="0" fontId="35" fillId="3" borderId="0" xfId="4" applyFont="1" applyFill="1" applyAlignment="1">
      <alignment horizontal="center" vertical="center" wrapText="1"/>
    </xf>
    <xf numFmtId="49" fontId="16" fillId="2" borderId="0" xfId="0" applyNumberFormat="1" applyFont="1" applyFill="1" applyAlignment="1">
      <alignment horizontal="center"/>
    </xf>
    <xf numFmtId="0" fontId="17" fillId="0" borderId="0" xfId="0" applyFont="1" applyAlignment="1">
      <alignment horizontal="center"/>
    </xf>
    <xf numFmtId="0" fontId="23" fillId="5" borderId="26" xfId="0" applyFont="1" applyFill="1" applyBorder="1" applyAlignment="1">
      <alignment horizontal="center" vertical="center"/>
    </xf>
    <xf numFmtId="0" fontId="23" fillId="5" borderId="28" xfId="0" applyFont="1" applyFill="1" applyBorder="1" applyAlignment="1">
      <alignment horizontal="center" vertical="center"/>
    </xf>
    <xf numFmtId="0" fontId="22" fillId="3" borderId="0" xfId="0" applyFont="1" applyFill="1" applyAlignment="1">
      <alignment horizontal="center" vertical="center"/>
    </xf>
    <xf numFmtId="49" fontId="22" fillId="3" borderId="0" xfId="0" applyNumberFormat="1" applyFont="1" applyFill="1" applyAlignment="1">
      <alignment horizontal="center" vertical="center"/>
    </xf>
    <xf numFmtId="0" fontId="23" fillId="5" borderId="0" xfId="0" applyFont="1" applyFill="1" applyAlignment="1">
      <alignment horizontal="center" vertical="center"/>
    </xf>
    <xf numFmtId="0" fontId="23" fillId="5" borderId="26" xfId="0" applyFont="1" applyFill="1" applyBorder="1" applyAlignment="1">
      <alignment horizontal="center" vertical="center" wrapText="1"/>
    </xf>
    <xf numFmtId="0" fontId="23" fillId="5" borderId="0" xfId="0" applyFont="1" applyFill="1" applyAlignment="1">
      <alignment horizontal="center" vertical="center" wrapText="1"/>
    </xf>
    <xf numFmtId="0" fontId="23" fillId="5" borderId="28" xfId="0" applyFont="1" applyFill="1" applyBorder="1" applyAlignment="1">
      <alignment horizontal="center" vertical="center" wrapText="1"/>
    </xf>
    <xf numFmtId="0" fontId="26" fillId="2" borderId="36" xfId="4" applyFont="1" applyFill="1" applyBorder="1" applyAlignment="1">
      <alignment horizontal="center" vertical="center"/>
    </xf>
    <xf numFmtId="0" fontId="26" fillId="2" borderId="37" xfId="4" applyFont="1" applyFill="1" applyBorder="1" applyAlignment="1">
      <alignment horizontal="center" vertical="center"/>
    </xf>
    <xf numFmtId="0" fontId="26" fillId="2" borderId="38" xfId="4" applyFont="1" applyFill="1" applyBorder="1" applyAlignment="1">
      <alignment horizontal="center" vertical="center"/>
    </xf>
  </cellXfs>
  <cellStyles count="10">
    <cellStyle name="Comma 2" xfId="3" xr:uid="{00000000-0005-0000-0000-000000000000}"/>
    <cellStyle name="Currency 2" xfId="5" xr:uid="{00000000-0005-0000-0000-000001000000}"/>
    <cellStyle name="Normal" xfId="0" builtinId="0"/>
    <cellStyle name="Normal 2" xfId="4" xr:uid="{00000000-0005-0000-0000-000003000000}"/>
    <cellStyle name="Normal 2 2" xfId="7" xr:uid="{00000000-0005-0000-0000-000004000000}"/>
    <cellStyle name="Normal 2 3" xfId="6" xr:uid="{00000000-0005-0000-0000-000005000000}"/>
    <cellStyle name="Normal 3" xfId="1" xr:uid="{00000000-0005-0000-0000-000006000000}"/>
    <cellStyle name="Normal 3 2" xfId="9" xr:uid="{B8CBDCCE-7B97-4AC6-9FF7-26F6232BD420}"/>
    <cellStyle name="Normal 4" xfId="2" xr:uid="{00000000-0005-0000-0000-000007000000}"/>
    <cellStyle name="Normal 5" xfId="8" xr:uid="{00000000-0005-0000-0000-000008000000}"/>
  </cellStyles>
  <dxfs count="29">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fill>
        <patternFill>
          <bgColor theme="0" tint="-0.14996795556505021"/>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fill>
        <patternFill>
          <bgColor theme="0" tint="-0.14996795556505021"/>
        </patternFill>
      </fill>
      <border>
        <left style="thin">
          <color auto="1"/>
        </left>
        <right style="thin">
          <color auto="1"/>
        </right>
        <top style="thin">
          <color auto="1"/>
        </top>
        <bottom style="thin">
          <color auto="1"/>
        </bottom>
        <vertical/>
        <horizontal/>
      </border>
    </dxf>
    <dxf>
      <font>
        <b/>
        <i val="0"/>
      </font>
      <fill>
        <patternFill>
          <bgColor theme="0" tint="-0.14996795556505021"/>
        </patternFill>
      </fill>
      <border>
        <left style="thin">
          <color auto="1"/>
        </left>
        <right style="thin">
          <color auto="1"/>
        </right>
        <top style="thin">
          <color auto="1"/>
        </top>
        <bottom style="thin">
          <color auto="1"/>
        </bottom>
        <vertical/>
        <horizontal/>
      </border>
    </dxf>
    <dxf>
      <font>
        <b/>
        <i val="0"/>
      </font>
      <fill>
        <patternFill>
          <bgColor theme="0" tint="-0.14996795556505021"/>
        </patternFill>
      </fill>
      <border>
        <left style="thin">
          <color auto="1"/>
        </left>
        <right style="thin">
          <color auto="1"/>
        </right>
        <top style="thin">
          <color auto="1"/>
        </top>
        <bottom style="thin">
          <color auto="1"/>
        </bottom>
        <vertical/>
        <horizontal/>
      </border>
    </dxf>
    <dxf>
      <font>
        <b/>
        <i val="0"/>
      </font>
      <fill>
        <patternFill>
          <bgColor theme="0" tint="-0.14996795556505021"/>
        </patternFill>
      </fill>
      <border>
        <left style="thin">
          <color auto="1"/>
        </left>
        <right style="thin">
          <color auto="1"/>
        </right>
        <top style="thin">
          <color auto="1"/>
        </top>
        <bottom style="thin">
          <color auto="1"/>
        </bottom>
        <vertical/>
        <horizontal/>
      </border>
    </dxf>
    <dxf>
      <font>
        <b/>
        <i val="0"/>
      </font>
      <fill>
        <patternFill>
          <bgColor theme="0" tint="-0.14996795556505021"/>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67540</xdr:colOff>
      <xdr:row>70</xdr:row>
      <xdr:rowOff>5414</xdr:rowOff>
    </xdr:from>
    <xdr:to>
      <xdr:col>6</xdr:col>
      <xdr:colOff>870238</xdr:colOff>
      <xdr:row>71</xdr:row>
      <xdr:rowOff>148893</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1267690" y="10949639"/>
          <a:ext cx="4955598" cy="3054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b"/>
        <a:lstStyle/>
        <a:p>
          <a:pPr algn="ctr"/>
          <a:r>
            <a:rPr lang="en-US" sz="800">
              <a:solidFill>
                <a:schemeClr val="dk1"/>
              </a:solidFill>
              <a:latin typeface="Arial" pitchFamily="34" charset="0"/>
              <a:ea typeface="+mn-ea"/>
              <a:cs typeface="Arial" pitchFamily="34" charset="0"/>
            </a:rPr>
            <a:t>2140 Lake Park Blvd., Richardson, TX 75080</a:t>
          </a:r>
        </a:p>
        <a:p>
          <a:pPr algn="ctr"/>
          <a:r>
            <a:rPr lang="en-US" sz="800">
              <a:solidFill>
                <a:schemeClr val="dk1"/>
              </a:solidFill>
              <a:latin typeface="Arial" pitchFamily="34" charset="0"/>
              <a:ea typeface="+mn-ea"/>
              <a:cs typeface="Arial" pitchFamily="34" charset="0"/>
            </a:rPr>
            <a:t>www.adpnow.com</a:t>
          </a:r>
        </a:p>
      </xdr:txBody>
    </xdr:sp>
    <xdr:clientData/>
  </xdr:twoCellAnchor>
  <xdr:twoCellAnchor editAs="oneCell">
    <xdr:from>
      <xdr:col>1</xdr:col>
      <xdr:colOff>538572</xdr:colOff>
      <xdr:row>64</xdr:row>
      <xdr:rowOff>125230</xdr:rowOff>
    </xdr:from>
    <xdr:to>
      <xdr:col>2</xdr:col>
      <xdr:colOff>336068</xdr:colOff>
      <xdr:row>66</xdr:row>
      <xdr:rowOff>91551</xdr:rowOff>
    </xdr:to>
    <xdr:pic>
      <xdr:nvPicPr>
        <xdr:cNvPr id="7" name="Picture 6" descr="ahri_BW.jpg">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srcRect/>
        <a:stretch>
          <a:fillRect/>
        </a:stretch>
      </xdr:blipFill>
      <xdr:spPr bwMode="auto">
        <a:xfrm>
          <a:off x="624297" y="11288530"/>
          <a:ext cx="911921" cy="290171"/>
        </a:xfrm>
        <a:prstGeom prst="rect">
          <a:avLst/>
        </a:prstGeom>
        <a:noFill/>
        <a:ln w="9525">
          <a:noFill/>
          <a:miter lim="800000"/>
          <a:headEnd/>
          <a:tailEnd/>
        </a:ln>
      </xdr:spPr>
    </xdr:pic>
    <xdr:clientData/>
  </xdr:twoCellAnchor>
  <xdr:oneCellAnchor>
    <xdr:from>
      <xdr:col>0</xdr:col>
      <xdr:colOff>0</xdr:colOff>
      <xdr:row>11</xdr:row>
      <xdr:rowOff>132483</xdr:rowOff>
    </xdr:from>
    <xdr:ext cx="5507182" cy="2582142"/>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0" y="2408958"/>
          <a:ext cx="5507182" cy="25821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True Replacement for an existing gas furnace</a:t>
          </a:r>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Multi-position- Up-flow downflow, and horizontal left or right airflow</a:t>
          </a:r>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Industry standard A,B,C,D cabinet widths</a:t>
          </a:r>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Compact design for tight spaces – only 30” tall</a:t>
          </a:r>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120 Volt to use existing service in a gas furnace replacement</a:t>
          </a:r>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Perfectly matches ADP multi-position, downflow, and horizontal cased coils.</a:t>
          </a:r>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Bottom and side return capable (both sides)</a:t>
          </a:r>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Painted front panel available to match coil color</a:t>
          </a:r>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Cabinet lined with high quality 5/8" foil faced insulation</a:t>
          </a:r>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Slide-out blower assemblies for easy access to blower motor</a:t>
          </a:r>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Certified to 1.4% or less cabinet air leakage as per ASHRAE 193-210</a:t>
          </a:r>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Dynamically balanced blowers for quiet, vibration-free operation	</a:t>
          </a:r>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120V 60Hz, 1 Phase, 5-speed high-efficiency ECM motor</a:t>
          </a:r>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Terminal board with screw down connections for thermostat wiring</a:t>
          </a:r>
        </a:p>
      </xdr:txBody>
    </xdr:sp>
    <xdr:clientData/>
  </xdr:oneCellAnchor>
  <xdr:oneCellAnchor>
    <xdr:from>
      <xdr:col>0</xdr:col>
      <xdr:colOff>0</xdr:colOff>
      <xdr:row>27</xdr:row>
      <xdr:rowOff>152399</xdr:rowOff>
    </xdr:from>
    <xdr:ext cx="5074227" cy="542925"/>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0" y="5153024"/>
          <a:ext cx="5074227"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171450" indent="-171450" eaLnBrk="1" fontAlgn="auto" latinLnBrk="0" hangingPunct="1">
            <a:buFont typeface="Arial" panose="020B0604020202020204" pitchFamily="34" charset="0"/>
            <a:buChar char="•"/>
          </a:pPr>
          <a:r>
            <a:rPr lang="en-US" sz="1050"/>
            <a:t>5-year limited warranty (Terms &amp; Conditions Apply).</a:t>
          </a:r>
          <a:endParaRPr lang="en-US" sz="1100" b="0" i="0" baseline="0">
            <a:solidFill>
              <a:schemeClr val="tx1"/>
            </a:solidFill>
            <a:effectLst/>
            <a:latin typeface="+mn-lt"/>
            <a:ea typeface="+mn-ea"/>
            <a:cs typeface="+mn-cs"/>
          </a:endParaRPr>
        </a:p>
      </xdr:txBody>
    </xdr:sp>
    <xdr:clientData/>
  </xdr:oneCellAnchor>
  <xdr:twoCellAnchor editAs="oneCell">
    <xdr:from>
      <xdr:col>1</xdr:col>
      <xdr:colOff>19050</xdr:colOff>
      <xdr:row>0</xdr:row>
      <xdr:rowOff>38100</xdr:rowOff>
    </xdr:from>
    <xdr:to>
      <xdr:col>2</xdr:col>
      <xdr:colOff>752474</xdr:colOff>
      <xdr:row>2</xdr:row>
      <xdr:rowOff>207130</xdr:rowOff>
    </xdr:to>
    <xdr:pic>
      <xdr:nvPicPr>
        <xdr:cNvPr id="14" name="Picture 13">
          <a:extLst>
            <a:ext uri="{FF2B5EF4-FFF2-40B4-BE49-F238E27FC236}">
              <a16:creationId xmlns:a16="http://schemas.microsoft.com/office/drawing/2014/main" id="{9A6ECF86-F600-282A-7C9C-BA8212C338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8200" y="38100"/>
          <a:ext cx="1847849" cy="664330"/>
        </a:xfrm>
        <a:prstGeom prst="rect">
          <a:avLst/>
        </a:prstGeom>
      </xdr:spPr>
    </xdr:pic>
    <xdr:clientData/>
  </xdr:twoCellAnchor>
  <xdr:twoCellAnchor editAs="oneCell">
    <xdr:from>
      <xdr:col>7</xdr:col>
      <xdr:colOff>266700</xdr:colOff>
      <xdr:row>63</xdr:row>
      <xdr:rowOff>152400</xdr:rowOff>
    </xdr:from>
    <xdr:to>
      <xdr:col>7</xdr:col>
      <xdr:colOff>702469</xdr:colOff>
      <xdr:row>66</xdr:row>
      <xdr:rowOff>142956</xdr:rowOff>
    </xdr:to>
    <xdr:pic>
      <xdr:nvPicPr>
        <xdr:cNvPr id="15" name="Picture 10">
          <a:extLst>
            <a:ext uri="{FF2B5EF4-FFF2-40B4-BE49-F238E27FC236}">
              <a16:creationId xmlns:a16="http://schemas.microsoft.com/office/drawing/2014/main" id="{E1EF8FB7-51CD-4F5C-8B84-2E9C3EDA57E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7810500" y="11153775"/>
          <a:ext cx="435769" cy="476331"/>
        </a:xfrm>
        <a:prstGeom prst="rect">
          <a:avLst/>
        </a:prstGeom>
        <a:noFill/>
        <a:ln w="9525">
          <a:noFill/>
          <a:miter lim="800000"/>
          <a:headEnd/>
          <a:tailEnd/>
        </a:ln>
      </xdr:spPr>
    </xdr:pic>
    <xdr:clientData/>
  </xdr:twoCellAnchor>
  <xdr:twoCellAnchor>
    <xdr:from>
      <xdr:col>0</xdr:col>
      <xdr:colOff>0</xdr:colOff>
      <xdr:row>68</xdr:row>
      <xdr:rowOff>0</xdr:rowOff>
    </xdr:from>
    <xdr:to>
      <xdr:col>7</xdr:col>
      <xdr:colOff>685800</xdr:colOff>
      <xdr:row>70</xdr:row>
      <xdr:rowOff>123825</xdr:rowOff>
    </xdr:to>
    <xdr:sp macro="" textlink="">
      <xdr:nvSpPr>
        <xdr:cNvPr id="17" name="Text Box 11">
          <a:extLst>
            <a:ext uri="{FF2B5EF4-FFF2-40B4-BE49-F238E27FC236}">
              <a16:creationId xmlns:a16="http://schemas.microsoft.com/office/drawing/2014/main" id="{97D14A0F-4057-45D6-99E9-B3DBCDAB87EA}"/>
            </a:ext>
          </a:extLst>
        </xdr:cNvPr>
        <xdr:cNvSpPr txBox="1">
          <a:spLocks noChangeArrowheads="1"/>
        </xdr:cNvSpPr>
      </xdr:nvSpPr>
      <xdr:spPr bwMode="auto">
        <a:xfrm>
          <a:off x="0" y="11315700"/>
          <a:ext cx="7743825" cy="4476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txBody>
        <a:bodyPr vertOverflow="clip" wrap="square" lIns="36576" tIns="36576" rIns="36576" bIns="36576" anchor="t" upright="1"/>
        <a:lstStyle/>
        <a:p>
          <a:pPr algn="ctr" rtl="0">
            <a:defRPr sz="1000"/>
          </a:pPr>
          <a:r>
            <a:rPr lang="en-US" sz="750" b="0" i="0" u="none" strike="noStrike" baseline="0">
              <a:solidFill>
                <a:srgbClr val="000000"/>
              </a:solidFill>
              <a:latin typeface="Arial"/>
              <a:cs typeface="Arial"/>
            </a:rPr>
            <a:t>Product improvement is a continuous process at Advanced Distributor Products. Therefore, product specifications are subject to change without notice and without obligation on our part. Please contact your ADP representative or distributor to verify details.</a:t>
          </a:r>
        </a:p>
        <a:p>
          <a:pPr algn="ctr" rtl="0">
            <a:defRPr sz="1000"/>
          </a:pPr>
          <a:r>
            <a:rPr lang="en-US" sz="750" b="1" i="0" u="none" strike="noStrike" baseline="0">
              <a:solidFill>
                <a:srgbClr val="000000"/>
              </a:solidFill>
              <a:latin typeface="Arial"/>
              <a:cs typeface="Arial"/>
            </a:rPr>
            <a:t>© 2025 by Advanced Distributor Products.  </a:t>
          </a:r>
          <a:r>
            <a:rPr lang="en-US" sz="750" b="0" i="0" u="none" strike="noStrike" baseline="0">
              <a:solidFill>
                <a:srgbClr val="000000"/>
              </a:solidFill>
              <a:latin typeface="Arial"/>
              <a:cs typeface="Arial"/>
            </a:rPr>
            <a:t>All rights reserved.   </a:t>
          </a:r>
        </a:p>
        <a:p>
          <a:pPr algn="ctr" rtl="0">
            <a:defRPr sz="1000"/>
          </a:pPr>
          <a:endParaRPr lang="en-US"/>
        </a:p>
      </xdr:txBody>
    </xdr:sp>
    <xdr:clientData/>
  </xdr:twoCellAnchor>
  <xdr:twoCellAnchor>
    <xdr:from>
      <xdr:col>5</xdr:col>
      <xdr:colOff>962025</xdr:colOff>
      <xdr:row>12</xdr:row>
      <xdr:rowOff>19050</xdr:rowOff>
    </xdr:from>
    <xdr:to>
      <xdr:col>7</xdr:col>
      <xdr:colOff>120875</xdr:colOff>
      <xdr:row>30</xdr:row>
      <xdr:rowOff>38100</xdr:rowOff>
    </xdr:to>
    <xdr:pic>
      <xdr:nvPicPr>
        <xdr:cNvPr id="4" name="Picture 3">
          <a:extLst>
            <a:ext uri="{FF2B5EF4-FFF2-40B4-BE49-F238E27FC236}">
              <a16:creationId xmlns:a16="http://schemas.microsoft.com/office/drawing/2014/main" id="{4CBD3E9D-FC39-410F-974B-97D8414968D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20743" t="13631" r="23187" b="9251"/>
        <a:stretch>
          <a:fillRect/>
        </a:stretch>
      </xdr:blipFill>
      <xdr:spPr bwMode="auto">
        <a:xfrm>
          <a:off x="5743575" y="2457450"/>
          <a:ext cx="1921100" cy="3067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twoCellAnchor editAs="oneCell">
    <xdr:from>
      <xdr:col>0</xdr:col>
      <xdr:colOff>28575</xdr:colOff>
      <xdr:row>48</xdr:row>
      <xdr:rowOff>152401</xdr:rowOff>
    </xdr:from>
    <xdr:to>
      <xdr:col>7</xdr:col>
      <xdr:colOff>828675</xdr:colOff>
      <xdr:row>59</xdr:row>
      <xdr:rowOff>124990</xdr:rowOff>
    </xdr:to>
    <xdr:pic>
      <xdr:nvPicPr>
        <xdr:cNvPr id="2" name="Picture 1">
          <a:extLst>
            <a:ext uri="{FF2B5EF4-FFF2-40B4-BE49-F238E27FC236}">
              <a16:creationId xmlns:a16="http://schemas.microsoft.com/office/drawing/2014/main" id="{95489C06-C7F9-59A0-80B0-4A402AFC8EAD}"/>
            </a:ext>
          </a:extLst>
        </xdr:cNvPr>
        <xdr:cNvPicPr>
          <a:picLocks noChangeAspect="1"/>
        </xdr:cNvPicPr>
      </xdr:nvPicPr>
      <xdr:blipFill>
        <a:blip xmlns:r="http://schemas.openxmlformats.org/officeDocument/2006/relationships" r:embed="rId5"/>
        <a:stretch>
          <a:fillRect/>
        </a:stretch>
      </xdr:blipFill>
      <xdr:spPr>
        <a:xfrm>
          <a:off x="28575" y="8724901"/>
          <a:ext cx="8343900" cy="17537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60612</xdr:colOff>
      <xdr:row>0</xdr:row>
      <xdr:rowOff>33771</xdr:rowOff>
    </xdr:from>
    <xdr:to>
      <xdr:col>2</xdr:col>
      <xdr:colOff>552450</xdr:colOff>
      <xdr:row>2</xdr:row>
      <xdr:rowOff>218017</xdr:rowOff>
    </xdr:to>
    <xdr:pic>
      <xdr:nvPicPr>
        <xdr:cNvPr id="4" name="Picture 3">
          <a:extLst>
            <a:ext uri="{FF2B5EF4-FFF2-40B4-BE49-F238E27FC236}">
              <a16:creationId xmlns:a16="http://schemas.microsoft.com/office/drawing/2014/main" id="{2D2936BE-7D5A-4ECA-B89F-EB3280358B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612" y="33771"/>
          <a:ext cx="1739613" cy="622396"/>
        </a:xfrm>
        <a:prstGeom prst="rect">
          <a:avLst/>
        </a:prstGeom>
      </xdr:spPr>
    </xdr:pic>
    <xdr:clientData/>
  </xdr:twoCellAnchor>
  <xdr:twoCellAnchor editAs="oneCell">
    <xdr:from>
      <xdr:col>3</xdr:col>
      <xdr:colOff>213961</xdr:colOff>
      <xdr:row>12</xdr:row>
      <xdr:rowOff>66675</xdr:rowOff>
    </xdr:from>
    <xdr:to>
      <xdr:col>16</xdr:col>
      <xdr:colOff>69444</xdr:colOff>
      <xdr:row>27</xdr:row>
      <xdr:rowOff>114300</xdr:rowOff>
    </xdr:to>
    <xdr:pic>
      <xdr:nvPicPr>
        <xdr:cNvPr id="3" name="Picture 2">
          <a:extLst>
            <a:ext uri="{FF2B5EF4-FFF2-40B4-BE49-F238E27FC236}">
              <a16:creationId xmlns:a16="http://schemas.microsoft.com/office/drawing/2014/main" id="{AC2256D5-33E4-41BA-BE6C-33EAFE62428B}"/>
            </a:ext>
          </a:extLst>
        </xdr:cNvPr>
        <xdr:cNvPicPr>
          <a:picLocks noChangeAspect="1"/>
        </xdr:cNvPicPr>
      </xdr:nvPicPr>
      <xdr:blipFill>
        <a:blip xmlns:r="http://schemas.openxmlformats.org/officeDocument/2006/relationships" r:embed="rId2"/>
        <a:stretch>
          <a:fillRect/>
        </a:stretch>
      </xdr:blipFill>
      <xdr:spPr>
        <a:xfrm>
          <a:off x="1433161" y="2381250"/>
          <a:ext cx="4141733" cy="2476500"/>
        </a:xfrm>
        <a:prstGeom prst="rect">
          <a:avLst/>
        </a:prstGeom>
      </xdr:spPr>
    </xdr:pic>
    <xdr:clientData/>
  </xdr:twoCellAnchor>
  <xdr:twoCellAnchor editAs="oneCell">
    <xdr:from>
      <xdr:col>0</xdr:col>
      <xdr:colOff>504825</xdr:colOff>
      <xdr:row>11</xdr:row>
      <xdr:rowOff>28574</xdr:rowOff>
    </xdr:from>
    <xdr:to>
      <xdr:col>2</xdr:col>
      <xdr:colOff>561161</xdr:colOff>
      <xdr:row>18</xdr:row>
      <xdr:rowOff>104774</xdr:rowOff>
    </xdr:to>
    <xdr:pic>
      <xdr:nvPicPr>
        <xdr:cNvPr id="5" name="Picture 4">
          <a:extLst>
            <a:ext uri="{FF2B5EF4-FFF2-40B4-BE49-F238E27FC236}">
              <a16:creationId xmlns:a16="http://schemas.microsoft.com/office/drawing/2014/main" id="{C9FCBB96-946D-4906-AD94-AE1DF9A3A317}"/>
            </a:ext>
          </a:extLst>
        </xdr:cNvPr>
        <xdr:cNvPicPr>
          <a:picLocks noChangeAspect="1"/>
        </xdr:cNvPicPr>
      </xdr:nvPicPr>
      <xdr:blipFill>
        <a:blip xmlns:r="http://schemas.openxmlformats.org/officeDocument/2006/relationships" r:embed="rId3"/>
        <a:stretch>
          <a:fillRect/>
        </a:stretch>
      </xdr:blipFill>
      <xdr:spPr>
        <a:xfrm>
          <a:off x="504825" y="1981199"/>
          <a:ext cx="1304111" cy="12096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69"/>
  <sheetViews>
    <sheetView showGridLines="0" tabSelected="1" view="pageBreakPreview" topLeftCell="A18" zoomScaleNormal="100" zoomScaleSheetLayoutView="100" workbookViewId="0">
      <selection activeCell="J34" sqref="A1:XFD1048576"/>
    </sheetView>
  </sheetViews>
  <sheetFormatPr defaultColWidth="9.109375" defaultRowHeight="13.8"/>
  <cols>
    <col min="1" max="1" width="1.33203125" style="1" customWidth="1"/>
    <col min="2" max="2" width="16.6640625" style="1" customWidth="1"/>
    <col min="3" max="3" width="12.6640625" style="1" customWidth="1"/>
    <col min="4" max="4" width="20.33203125" style="1" customWidth="1"/>
    <col min="5" max="7" width="20.6640625" style="1" customWidth="1"/>
    <col min="8" max="8" width="17" style="1" customWidth="1"/>
    <col min="9" max="9" width="10.6640625" style="1" customWidth="1"/>
    <col min="10" max="10" width="9.109375" style="1"/>
    <col min="11" max="11" width="9.109375" style="1" customWidth="1"/>
    <col min="12" max="16384" width="9.109375" style="1"/>
  </cols>
  <sheetData>
    <row r="1" spans="1:11">
      <c r="D1" s="2"/>
      <c r="E1" s="2"/>
      <c r="F1" s="2"/>
      <c r="G1" s="2"/>
    </row>
    <row r="2" spans="1:11" ht="26.25" customHeight="1">
      <c r="D2" s="2"/>
      <c r="E2" s="2"/>
      <c r="F2" s="2"/>
      <c r="G2" s="2"/>
      <c r="H2" s="3" t="s">
        <v>2</v>
      </c>
    </row>
    <row r="3" spans="1:11" ht="20.399999999999999" thickBot="1">
      <c r="A3" s="6"/>
      <c r="B3" s="6"/>
      <c r="C3" s="6"/>
      <c r="D3" s="6"/>
      <c r="E3" s="6"/>
      <c r="F3" s="6"/>
      <c r="G3" s="6"/>
      <c r="H3" s="7" t="s">
        <v>66</v>
      </c>
    </row>
    <row r="5" spans="1:11" ht="18.75" customHeight="1">
      <c r="B5" s="4" t="s">
        <v>7</v>
      </c>
      <c r="C5" s="25"/>
      <c r="D5" s="25"/>
      <c r="F5" s="4" t="s">
        <v>11</v>
      </c>
      <c r="G5" s="25"/>
      <c r="H5" s="25"/>
    </row>
    <row r="6" spans="1:11" ht="18.75" customHeight="1">
      <c r="B6" s="5" t="s">
        <v>8</v>
      </c>
      <c r="C6" s="26"/>
      <c r="D6" s="26"/>
      <c r="F6" s="5" t="s">
        <v>3</v>
      </c>
      <c r="G6" s="25"/>
      <c r="H6" s="25"/>
    </row>
    <row r="7" spans="1:11" ht="18.75" customHeight="1">
      <c r="B7" s="5" t="s">
        <v>9</v>
      </c>
      <c r="C7" s="26"/>
      <c r="D7" s="26"/>
      <c r="F7" s="5" t="s">
        <v>4</v>
      </c>
      <c r="G7" s="25"/>
      <c r="H7" s="26"/>
    </row>
    <row r="8" spans="1:11" ht="18.75" customHeight="1">
      <c r="B8" s="5" t="s">
        <v>10</v>
      </c>
      <c r="C8" s="26"/>
      <c r="D8" s="26"/>
      <c r="F8" s="5" t="s">
        <v>5</v>
      </c>
      <c r="G8" s="25"/>
      <c r="H8" s="26"/>
    </row>
    <row r="9" spans="1:11" ht="5.25" customHeight="1"/>
    <row r="11" spans="1:11">
      <c r="B11" s="9" t="s">
        <v>0</v>
      </c>
      <c r="C11" s="10"/>
      <c r="D11" s="10"/>
      <c r="E11" s="10"/>
      <c r="F11" s="10"/>
      <c r="G11" s="10"/>
      <c r="H11" s="10"/>
      <c r="I11" s="24"/>
    </row>
    <row r="12" spans="1:11">
      <c r="B12" s="8"/>
    </row>
    <row r="13" spans="1:11" ht="14.4">
      <c r="B13" s="8"/>
      <c r="K13" s="29"/>
    </row>
    <row r="14" spans="1:11" ht="14.4">
      <c r="B14" s="8"/>
      <c r="K14" s="29"/>
    </row>
    <row r="15" spans="1:11">
      <c r="B15" s="8"/>
    </row>
    <row r="16" spans="1:11">
      <c r="B16" s="8"/>
    </row>
    <row r="17" spans="2:2">
      <c r="B17" s="8"/>
    </row>
    <row r="18" spans="2:2">
      <c r="B18" s="8"/>
    </row>
    <row r="19" spans="2:2">
      <c r="B19" s="8"/>
    </row>
    <row r="20" spans="2:2" ht="17.25" customHeight="1">
      <c r="B20" s="8"/>
    </row>
    <row r="21" spans="2:2" ht="11.4" customHeight="1"/>
    <row r="22" spans="2:2" ht="14.4">
      <c r="B22" s="29"/>
    </row>
    <row r="23" spans="2:2" ht="15.75" customHeight="1">
      <c r="B23" s="29"/>
    </row>
    <row r="24" spans="2:2">
      <c r="B24" s="2"/>
    </row>
    <row r="27" spans="2:2">
      <c r="B27" s="8"/>
    </row>
    <row r="28" spans="2:2">
      <c r="B28" s="2" t="s">
        <v>6</v>
      </c>
    </row>
    <row r="29" spans="2:2">
      <c r="B29" s="8"/>
    </row>
    <row r="30" spans="2:2">
      <c r="B30" s="8"/>
    </row>
    <row r="31" spans="2:2">
      <c r="B31" s="8"/>
    </row>
    <row r="32" spans="2:2">
      <c r="B32" s="8"/>
    </row>
    <row r="33" spans="2:7">
      <c r="B33" s="8"/>
    </row>
    <row r="34" spans="2:7" ht="16.5" customHeight="1"/>
    <row r="35" spans="2:7" ht="12.75" customHeight="1">
      <c r="B35" s="12"/>
      <c r="C35" s="13"/>
      <c r="D35" s="140" t="s">
        <v>1</v>
      </c>
      <c r="E35" s="141"/>
      <c r="F35" s="141"/>
      <c r="G35" s="142"/>
    </row>
    <row r="36" spans="2:7" ht="12.75" customHeight="1">
      <c r="B36" s="14"/>
      <c r="C36" s="15"/>
      <c r="D36" s="28" t="s">
        <v>107</v>
      </c>
      <c r="E36" s="28" t="s">
        <v>118</v>
      </c>
      <c r="F36" s="28" t="s">
        <v>131</v>
      </c>
      <c r="G36" s="28" t="s">
        <v>141</v>
      </c>
    </row>
    <row r="37" spans="2:7" ht="12.75" customHeight="1">
      <c r="B37" s="143" t="s">
        <v>55</v>
      </c>
      <c r="C37" s="20" t="s">
        <v>54</v>
      </c>
      <c r="D37" s="27" t="str">
        <f>IFERROR(VLOOKUP(D36,Data!$B$3:$X$38,3,FALSE),"")</f>
        <v>5-speed ECM motor</v>
      </c>
      <c r="E37" s="27" t="str">
        <f>IFERROR(VLOOKUP(E36,Data!$B$3:$X$38,3,FALSE),"")</f>
        <v>5-speed ECM motor</v>
      </c>
      <c r="F37" s="27" t="str">
        <f>IFERROR(VLOOKUP(F36,Data!$B$3:$X$38,3,FALSE),"")</f>
        <v>5-speed ECM motor</v>
      </c>
      <c r="G37" s="104" t="str">
        <f>IFERROR(VLOOKUP(G36,Data!$B$3:$X$38,3,FALSE),"")</f>
        <v>5-speed ECM motor</v>
      </c>
    </row>
    <row r="38" spans="2:7" ht="12.75" customHeight="1">
      <c r="B38" s="144"/>
      <c r="C38" s="64" t="s">
        <v>15</v>
      </c>
      <c r="D38" s="65" t="str">
        <f>IFERROR(VLOOKUP(D36,Data!$B$3:$X$38,14,FALSE),"")</f>
        <v>1/2</v>
      </c>
      <c r="E38" s="65" t="str">
        <f>IFERROR(VLOOKUP(E36,Data!$B$3:$X$38,14,FALSE),"")</f>
        <v>3/4</v>
      </c>
      <c r="F38" s="65">
        <f>IFERROR(VLOOKUP(F36,Data!$B$3:$X$38,14,FALSE),"")</f>
        <v>1</v>
      </c>
      <c r="G38" s="105">
        <f>IFERROR(VLOOKUP(G36,Data!$B$3:$X$38,14,FALSE),"")</f>
        <v>1</v>
      </c>
    </row>
    <row r="39" spans="2:7">
      <c r="B39" s="145"/>
      <c r="C39" s="21" t="s">
        <v>65</v>
      </c>
      <c r="D39" s="23">
        <f>IFERROR(VLOOKUP(D36,Data!$B$3:$X$38,15,FALSE),"")</f>
        <v>5.8</v>
      </c>
      <c r="E39" s="23">
        <f>IFERROR(VLOOKUP(E36,Data!$B$3:$X$38,15,FALSE),"")</f>
        <v>8.6999999999999993</v>
      </c>
      <c r="F39" s="23">
        <f>IFERROR(VLOOKUP(F36,Data!$B$3:$X$38,15,FALSE),"")</f>
        <v>11.1</v>
      </c>
      <c r="G39" s="106">
        <f>IFERROR(VLOOKUP(G36,Data!$B$3:$X$38,15,FALSE),"")</f>
        <v>11.1</v>
      </c>
    </row>
    <row r="40" spans="2:7">
      <c r="B40" s="17" t="s">
        <v>16</v>
      </c>
      <c r="C40" s="22"/>
      <c r="D40" s="23" t="str">
        <f>IFERROR(VLOOKUP(D36,Data!$B$3:$X$38,16,FALSE),"")</f>
        <v>400 - 1200</v>
      </c>
      <c r="E40" s="23" t="str">
        <f>IFERROR(VLOOKUP(E36,Data!$B$3:$X$38,16,FALSE),"")</f>
        <v>800 - 1600</v>
      </c>
      <c r="F40" s="23" t="str">
        <f>IFERROR(VLOOKUP(F36,Data!$B$3:$X$38,16,FALSE),"")</f>
        <v>1000 - 1800</v>
      </c>
      <c r="G40" s="106" t="str">
        <f>IFERROR(VLOOKUP(G36,Data!$B$3:$X$38,16,FALSE),"")</f>
        <v>1200 - 2000</v>
      </c>
    </row>
    <row r="41" spans="2:7">
      <c r="B41" s="16" t="s">
        <v>19</v>
      </c>
      <c r="C41" s="19"/>
      <c r="D41" s="11">
        <f>IFERROR(VLOOKUP(D36,Data!$B$3:$X$38,17,FALSE),"")</f>
        <v>84</v>
      </c>
      <c r="E41" s="11">
        <f>IFERROR(VLOOKUP(E36,Data!$B$3:$X$38,17,FALSE),"")</f>
        <v>105</v>
      </c>
      <c r="F41" s="11">
        <f>IFERROR(VLOOKUP(F36,Data!$B$3:$X$38,17,FALSE),"")</f>
        <v>80</v>
      </c>
      <c r="G41" s="103">
        <f>IFERROR(VLOOKUP(G36,Data!$B$3:$X$38,17,FALSE),"")</f>
        <v>80</v>
      </c>
    </row>
    <row r="42" spans="2:7" ht="13.5" customHeight="1">
      <c r="B42" s="17" t="s">
        <v>12</v>
      </c>
      <c r="C42" s="59"/>
      <c r="D42" s="60" t="str">
        <f>IFERROR(VLOOKUP(D36,Data!$B$3:$X$38,18,FALSE),"")</f>
        <v>120 V, 60 Hz, 1 Ph</v>
      </c>
      <c r="E42" s="60" t="str">
        <f>IFERROR(VLOOKUP(E36,Data!$B$3:$X$38,18,FALSE),"")</f>
        <v>120 V, 60 Hz, 1 Ph</v>
      </c>
      <c r="F42" s="60" t="str">
        <f>IFERROR(VLOOKUP(F36,Data!$B$3:$X$38,18,FALSE),"")</f>
        <v>120 V, 60 Hz, 1 Ph</v>
      </c>
      <c r="G42" s="107" t="str">
        <f>IFERROR(VLOOKUP(G36,Data!$B$3:$X$38,18,FALSE),"")</f>
        <v>120 V, 60 Hz, 1 Ph</v>
      </c>
    </row>
    <row r="43" spans="2:7" ht="13.5" customHeight="1">
      <c r="B43" s="61" t="s">
        <v>14</v>
      </c>
      <c r="C43" s="62"/>
      <c r="D43" s="63" t="str">
        <f>IFERROR(VLOOKUP(D36,Data!$B$3:$X$38,20,FALSE),"")</f>
        <v>40 VA, Class 2</v>
      </c>
      <c r="E43" s="63" t="str">
        <f>IFERROR(VLOOKUP(E36,Data!$B$3:$X$38,20,FALSE),"")</f>
        <v>40 VA, Class 2</v>
      </c>
      <c r="F43" s="63" t="str">
        <f>IFERROR(VLOOKUP(F36,Data!$B$3:$X$38,20,FALSE),"")</f>
        <v>40 VA, Class 2</v>
      </c>
      <c r="G43" s="108" t="str">
        <f>IFERROR(VLOOKUP(G36,Data!$B$3:$X$38,20,FALSE),"")</f>
        <v>40 VA, Class 2</v>
      </c>
    </row>
    <row r="44" spans="2:7">
      <c r="B44" s="2"/>
    </row>
    <row r="46" spans="2:7" ht="9.9" customHeight="1"/>
    <row r="47" spans="2:7" ht="9.9" customHeight="1">
      <c r="B47" s="8"/>
      <c r="C47" s="146" t="s">
        <v>67</v>
      </c>
      <c r="D47" s="146"/>
      <c r="E47" s="146"/>
      <c r="F47" s="146"/>
      <c r="G47" s="146"/>
    </row>
    <row r="48" spans="2:7" ht="9.9" customHeight="1">
      <c r="B48" s="8"/>
    </row>
    <row r="68" spans="1:8" ht="3.75" customHeight="1"/>
    <row r="69" spans="1:8">
      <c r="A69" s="18"/>
      <c r="B69" s="18"/>
      <c r="C69" s="18"/>
      <c r="D69" s="18"/>
      <c r="E69" s="18"/>
      <c r="F69" s="18"/>
      <c r="G69" s="18"/>
      <c r="H69" s="18"/>
    </row>
  </sheetData>
  <protectedRanges>
    <protectedRange sqref="D36:G36" name="RngModels"/>
  </protectedRanges>
  <mergeCells count="3">
    <mergeCell ref="D35:G35"/>
    <mergeCell ref="B37:B39"/>
    <mergeCell ref="C47:G47"/>
  </mergeCells>
  <printOptions horizontalCentered="1"/>
  <pageMargins left="0.2" right="0.2" top="0.25" bottom="0.25" header="0.3" footer="0.3"/>
  <pageSetup scale="7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D195B-ED51-4B93-BCF3-D6CF13E05E1D}">
  <sheetPr codeName="Sheet3">
    <pageSetUpPr fitToPage="1"/>
  </sheetPr>
  <dimension ref="A1:AA66"/>
  <sheetViews>
    <sheetView showGridLines="0" view="pageBreakPreview" zoomScaleNormal="100" zoomScaleSheetLayoutView="100" workbookViewId="0">
      <selection activeCell="V17" sqref="V17"/>
    </sheetView>
  </sheetViews>
  <sheetFormatPr defaultColWidth="9.109375" defaultRowHeight="13.8"/>
  <cols>
    <col min="1" max="1" width="14.33203125" style="1" customWidth="1"/>
    <col min="2" max="2" width="4.44140625" style="1" customWidth="1"/>
    <col min="3" max="3" width="9.44140625" style="1" customWidth="1"/>
    <col min="4" max="15" width="5" style="1" customWidth="1"/>
    <col min="16" max="16" width="4.33203125" style="1" customWidth="1"/>
    <col min="17" max="17" width="14.33203125" style="1" customWidth="1"/>
    <col min="18" max="27" width="10" style="1" customWidth="1"/>
    <col min="28" max="28" width="2.6640625" style="1" customWidth="1"/>
    <col min="29" max="16384" width="9.109375" style="1"/>
  </cols>
  <sheetData>
    <row r="1" spans="1:26">
      <c r="D1" s="2"/>
      <c r="E1" s="2"/>
      <c r="F1" s="2"/>
      <c r="G1" s="2"/>
    </row>
    <row r="2" spans="1:26" ht="21.75" customHeight="1">
      <c r="D2" s="2"/>
      <c r="E2" s="2"/>
      <c r="F2" s="2"/>
      <c r="G2" s="2"/>
      <c r="H2" s="3"/>
      <c r="Q2" s="3" t="s">
        <v>2</v>
      </c>
    </row>
    <row r="3" spans="1:26" ht="21.75" customHeight="1" thickBot="1">
      <c r="A3" s="6"/>
      <c r="B3" s="6"/>
      <c r="C3" s="6"/>
      <c r="D3" s="6"/>
      <c r="E3" s="6"/>
      <c r="F3" s="6"/>
      <c r="G3" s="6"/>
      <c r="H3" s="7"/>
      <c r="I3" s="6"/>
      <c r="J3" s="6"/>
      <c r="K3" s="6"/>
      <c r="L3" s="6"/>
      <c r="M3" s="6"/>
      <c r="N3" s="6"/>
      <c r="O3" s="6"/>
      <c r="P3" s="6"/>
      <c r="Q3" s="7" t="s">
        <v>66</v>
      </c>
    </row>
    <row r="4" spans="1:26" ht="3.75" customHeight="1">
      <c r="A4" s="67"/>
      <c r="B4" s="67"/>
      <c r="C4" s="102"/>
      <c r="D4" s="102"/>
      <c r="E4" s="102"/>
      <c r="F4" s="102"/>
      <c r="G4" s="67"/>
      <c r="H4" s="102"/>
      <c r="I4" s="102"/>
      <c r="J4" s="102"/>
      <c r="K4" s="102"/>
      <c r="L4" s="102"/>
      <c r="M4" s="67"/>
      <c r="N4" s="67"/>
    </row>
    <row r="5" spans="1:26" ht="13.5" customHeight="1">
      <c r="A5" s="67"/>
      <c r="B5" s="67"/>
      <c r="C5" s="147" t="s">
        <v>56</v>
      </c>
      <c r="D5" s="147"/>
      <c r="E5" s="147"/>
      <c r="F5" s="147"/>
      <c r="G5" s="147"/>
      <c r="H5" s="147"/>
      <c r="I5" s="147"/>
      <c r="J5" s="147"/>
      <c r="K5" s="147"/>
      <c r="L5" s="147"/>
      <c r="M5" s="147"/>
      <c r="N5" s="137"/>
      <c r="O5" s="137"/>
      <c r="P5" s="137"/>
      <c r="Q5" s="137"/>
      <c r="R5" s="151"/>
      <c r="S5" s="151"/>
      <c r="T5" s="151"/>
      <c r="U5" s="151"/>
      <c r="V5" s="151"/>
      <c r="W5" s="151"/>
      <c r="X5" s="151"/>
      <c r="Y5" s="151"/>
      <c r="Z5" s="119"/>
    </row>
    <row r="6" spans="1:26" ht="13.5" customHeight="1">
      <c r="A6" s="67"/>
      <c r="B6" s="67"/>
      <c r="C6" s="153" t="s">
        <v>61</v>
      </c>
      <c r="D6" s="153"/>
      <c r="E6" s="153" t="s">
        <v>188</v>
      </c>
      <c r="F6" s="153"/>
      <c r="G6" s="153"/>
      <c r="H6" s="153" t="s">
        <v>189</v>
      </c>
      <c r="I6" s="153"/>
      <c r="J6" s="153"/>
      <c r="K6" s="153" t="s">
        <v>190</v>
      </c>
      <c r="L6" s="153"/>
      <c r="M6" s="153"/>
      <c r="N6" s="154"/>
      <c r="O6" s="154"/>
      <c r="P6" s="154"/>
      <c r="Q6" s="120"/>
      <c r="R6" s="152"/>
      <c r="S6" s="152"/>
      <c r="T6" s="152"/>
      <c r="U6" s="152"/>
      <c r="V6" s="152"/>
      <c r="W6" s="152"/>
      <c r="X6" s="152"/>
      <c r="Y6" s="152"/>
      <c r="Z6" s="120"/>
    </row>
    <row r="7" spans="1:26" ht="13.5" customHeight="1">
      <c r="A7" s="67"/>
      <c r="B7" s="67"/>
      <c r="C7" s="150" t="str">
        <f>IF(Front!D36= "","",Front!D36)</f>
        <v>AEFE3A00S1HH2</v>
      </c>
      <c r="D7" s="150"/>
      <c r="E7" s="148">
        <f>IFERROR(VLOOKUP(VLOOKUP($C7,Data!$B$3:$AB$38,7,FALSE)&amp;"_"&amp;VLOOKUP($C7,Data!$B$3:$AB$38,24,FALSE),Dim!$F$5:$I$8,2,FALSE),"")</f>
        <v>36</v>
      </c>
      <c r="F7" s="148"/>
      <c r="G7" s="148"/>
      <c r="H7" s="148">
        <f>IFERROR(VLOOKUP(VLOOKUP($C7,Data!$B$3:$AB$38,7,FALSE)&amp;"_"&amp;VLOOKUP($C7,Data!$B$3:$AB$38,24,FALSE),Dim!$F$5:$I$8,3,FALSE),"")</f>
        <v>22</v>
      </c>
      <c r="I7" s="148"/>
      <c r="J7" s="148"/>
      <c r="K7" s="148">
        <f>IFERROR(VLOOKUP(VLOOKUP($C7,Data!$B$3:$AB$38,7,FALSE)&amp;"_"&amp;VLOOKUP($C7,Data!$B$3:$AB$38,24,FALSE),Dim!$F$5:$I$8,4,FALSE),"")</f>
        <v>15</v>
      </c>
      <c r="L7" s="148"/>
      <c r="M7" s="148"/>
      <c r="N7" s="67"/>
      <c r="O7" s="67"/>
      <c r="P7" s="67"/>
      <c r="Q7" s="109" t="str">
        <f>IFERROR(VLOOKUP(VLOOKUP($C7,Data!$B$3:$X$38,7,FALSE),Dim!$F$5:$I$8,4,FALSE),"")</f>
        <v/>
      </c>
      <c r="R7" s="149"/>
      <c r="S7" s="149"/>
      <c r="T7" s="149"/>
      <c r="U7" s="149"/>
      <c r="V7" s="149"/>
      <c r="W7" s="149"/>
      <c r="X7" s="149"/>
      <c r="Y7" s="149"/>
      <c r="Z7" s="109"/>
    </row>
    <row r="8" spans="1:26" ht="13.5" customHeight="1">
      <c r="A8" s="67"/>
      <c r="B8" s="67"/>
      <c r="C8" s="150" t="str">
        <f>IF(Front!E36= "","",Front!E36)</f>
        <v>AEFE4B00S1HG2</v>
      </c>
      <c r="D8" s="150"/>
      <c r="E8" s="148">
        <f>IFERROR(VLOOKUP(VLOOKUP($C8,Data!$B$3:$AB$38,7,FALSE)&amp;"_"&amp;VLOOKUP($C8,Data!$B$3:$AB$38,24,FALSE),Dim!$F$5:$I$8,2,FALSE),"")</f>
        <v>36</v>
      </c>
      <c r="F8" s="148"/>
      <c r="G8" s="148"/>
      <c r="H8" s="148">
        <f>IFERROR(VLOOKUP(VLOOKUP($C8,Data!$B$3:$AB$38,7,FALSE)&amp;"_"&amp;VLOOKUP($C8,Data!$B$3:$AB$38,24,FALSE),Dim!$F$5:$I$8,3,FALSE),"")</f>
        <v>22</v>
      </c>
      <c r="I8" s="148"/>
      <c r="J8" s="148"/>
      <c r="K8" s="148">
        <f>IFERROR(VLOOKUP(VLOOKUP($C8,Data!$B$3:$AB$38,7,FALSE)&amp;"_"&amp;VLOOKUP($C8,Data!$B$3:$AB$38,24,FALSE),Dim!$F$5:$I$8,4,FALSE),"")</f>
        <v>15</v>
      </c>
      <c r="L8" s="148"/>
      <c r="M8" s="148"/>
      <c r="N8" s="67"/>
      <c r="O8" s="67"/>
      <c r="P8" s="67"/>
      <c r="Q8" s="109" t="str">
        <f>IFERROR(VLOOKUP(VLOOKUP($C8,Data!$B$3:$X$38,7,FALSE),Dim!$F$5:$I$8,4,FALSE),"")</f>
        <v/>
      </c>
      <c r="R8" s="149"/>
      <c r="S8" s="149"/>
      <c r="T8" s="149"/>
      <c r="U8" s="149"/>
      <c r="V8" s="149"/>
      <c r="W8" s="149"/>
      <c r="X8" s="149"/>
      <c r="Y8" s="149"/>
      <c r="Z8" s="109"/>
    </row>
    <row r="9" spans="1:26" ht="13.5" customHeight="1">
      <c r="A9" s="67"/>
      <c r="B9" s="67"/>
      <c r="C9" s="150" t="str">
        <f>IF(Front!F36= "","",Front!F36)</f>
        <v>AEFE5C00S1HR2</v>
      </c>
      <c r="D9" s="150"/>
      <c r="E9" s="148">
        <f>IFERROR(VLOOKUP(VLOOKUP($C9,Data!$B$3:$AB$38,7,FALSE)&amp;"_"&amp;VLOOKUP($C9,Data!$B$3:$AB$38,24,FALSE),Dim!$F$5:$I$8,2,FALSE),"")</f>
        <v>41</v>
      </c>
      <c r="F9" s="148"/>
      <c r="G9" s="148"/>
      <c r="H9" s="148">
        <f>IFERROR(VLOOKUP(VLOOKUP($C9,Data!$B$3:$AB$38,7,FALSE)&amp;"_"&amp;VLOOKUP($C9,Data!$B$3:$AB$38,24,FALSE),Dim!$F$5:$I$8,3,FALSE),"")</f>
        <v>22</v>
      </c>
      <c r="I9" s="148"/>
      <c r="J9" s="148"/>
      <c r="K9" s="148">
        <f>IFERROR(VLOOKUP(VLOOKUP($C9,Data!$B$3:$AB$38,7,FALSE)&amp;"_"&amp;VLOOKUP($C9,Data!$B$3:$AB$38,24,FALSE),Dim!$F$5:$I$8,4,FALSE),"")</f>
        <v>18.5</v>
      </c>
      <c r="L9" s="148"/>
      <c r="M9" s="148"/>
      <c r="N9" s="67"/>
      <c r="O9" s="67"/>
      <c r="P9" s="67"/>
      <c r="Q9" s="109" t="str">
        <f>IFERROR(VLOOKUP(VLOOKUP($C9,Data!$B$3:$X$38,7,FALSE),Dim!$F$5:$I$8,4,FALSE),"")</f>
        <v/>
      </c>
      <c r="R9" s="149"/>
      <c r="S9" s="149"/>
      <c r="T9" s="149"/>
      <c r="U9" s="149"/>
      <c r="V9" s="149"/>
      <c r="W9" s="149"/>
      <c r="X9" s="149"/>
      <c r="Y9" s="149"/>
      <c r="Z9" s="109"/>
    </row>
    <row r="10" spans="1:26" ht="13.5" customHeight="1">
      <c r="A10" s="67"/>
      <c r="B10" s="67"/>
      <c r="C10" s="150" t="str">
        <f>IF(Front!G36= "","",Front!G36)</f>
        <v>AEFE5D00S1HT2</v>
      </c>
      <c r="D10" s="150"/>
      <c r="E10" s="148">
        <f>IFERROR(VLOOKUP(VLOOKUP($C10,Data!$B$3:$AB$38,7,FALSE)&amp;"_"&amp;VLOOKUP($C10,Data!$B$3:$AB$38,24,FALSE),Dim!$F$5:$I$8,2,FALSE),"")</f>
        <v>41</v>
      </c>
      <c r="F10" s="148"/>
      <c r="G10" s="148"/>
      <c r="H10" s="148">
        <f>IFERROR(VLOOKUP(VLOOKUP($C10,Data!$B$3:$AB$38,7,FALSE)&amp;"_"&amp;VLOOKUP($C10,Data!$B$3:$AB$38,24,FALSE),Dim!$F$5:$I$8,3,FALSE),"")</f>
        <v>22</v>
      </c>
      <c r="I10" s="148"/>
      <c r="J10" s="148"/>
      <c r="K10" s="148">
        <f>IFERROR(VLOOKUP(VLOOKUP($C10,Data!$B$3:$AB$38,7,FALSE)&amp;"_"&amp;VLOOKUP($C10,Data!$B$3:$AB$38,24,FALSE),Dim!$F$5:$I$8,4,FALSE),"")</f>
        <v>18.5</v>
      </c>
      <c r="L10" s="148"/>
      <c r="M10" s="148"/>
      <c r="N10" s="67"/>
      <c r="O10" s="67"/>
      <c r="P10" s="67"/>
      <c r="Q10" s="109" t="str">
        <f>IFERROR(VLOOKUP(VLOOKUP($C10,Data!$B$3:$X$38,7,FALSE),Dim!$F$5:$I$8,4,FALSE),"")</f>
        <v/>
      </c>
      <c r="R10" s="149" t="str">
        <f>IFERROR(VLOOKUP(VLOOKUP($C10,Data!$B$3:$X$38,7,FALSE),Dim!$F$5:$I$8,5,FALSE),"")</f>
        <v/>
      </c>
      <c r="S10" s="149"/>
      <c r="T10" s="149" t="str">
        <f>IFERROR(VLOOKUP(VLOOKUP($C10,Data!$B$3:$X$38,7,FALSE),Dim!$F$5:$I$8,6,FALSE),"")</f>
        <v/>
      </c>
      <c r="U10" s="149"/>
      <c r="V10" s="149" t="str">
        <f>IFERROR(VLOOKUP(VLOOKUP($C10,Data!$B$3:$X$38,7,FALSE),Dim!$F$5:$I$8,7,FALSE),"")</f>
        <v/>
      </c>
      <c r="W10" s="149"/>
      <c r="X10" s="149" t="str">
        <f>IFERROR(VLOOKUP(VLOOKUP($C10,Data!$B$3:$X$38,7,FALSE),Dim!$F$5:$I$8,8,FALSE),"")</f>
        <v/>
      </c>
      <c r="Y10" s="149"/>
      <c r="Z10" s="109"/>
    </row>
    <row r="11" spans="1:26">
      <c r="A11" s="67"/>
      <c r="B11" s="67"/>
      <c r="C11" s="101"/>
      <c r="D11" s="101"/>
      <c r="E11" s="67"/>
      <c r="F11" s="67"/>
      <c r="G11" s="67"/>
      <c r="H11" s="67"/>
      <c r="I11" s="68"/>
      <c r="J11" s="67"/>
      <c r="K11" s="67"/>
      <c r="L11" s="67"/>
      <c r="M11" s="67"/>
      <c r="N11" s="67"/>
    </row>
    <row r="12" spans="1:26">
      <c r="A12" s="67"/>
      <c r="B12" s="67"/>
      <c r="C12" s="97"/>
      <c r="D12" s="97"/>
      <c r="E12" s="67"/>
      <c r="F12" s="67"/>
      <c r="G12" s="67"/>
      <c r="H12" s="67"/>
      <c r="I12" s="98"/>
      <c r="J12" s="67"/>
      <c r="K12" s="67"/>
      <c r="L12" s="67"/>
      <c r="M12" s="67"/>
      <c r="N12" s="67"/>
    </row>
    <row r="13" spans="1:26">
      <c r="A13" s="67"/>
      <c r="B13" s="67"/>
      <c r="C13" s="97"/>
      <c r="D13" s="97"/>
      <c r="E13" s="67"/>
      <c r="F13" s="67"/>
      <c r="G13" s="67"/>
      <c r="H13" s="67"/>
      <c r="I13" s="98"/>
      <c r="J13" s="67"/>
      <c r="K13" s="67"/>
      <c r="L13" s="67"/>
      <c r="M13" s="67"/>
      <c r="N13" s="67"/>
    </row>
    <row r="14" spans="1:26">
      <c r="A14" s="67"/>
      <c r="B14" s="67"/>
      <c r="C14" s="97"/>
      <c r="D14" s="97"/>
      <c r="E14" s="67"/>
      <c r="F14" s="67"/>
      <c r="G14" s="67"/>
      <c r="H14" s="67"/>
      <c r="I14" s="98"/>
      <c r="J14" s="67"/>
      <c r="K14" s="67"/>
      <c r="L14" s="67"/>
      <c r="M14" s="67"/>
      <c r="N14" s="67"/>
    </row>
    <row r="15" spans="1:26">
      <c r="A15" s="67"/>
      <c r="B15" s="67"/>
      <c r="C15" s="97"/>
      <c r="D15" s="97"/>
      <c r="E15" s="67"/>
      <c r="F15" s="67"/>
      <c r="G15" s="67"/>
      <c r="H15" s="67"/>
      <c r="I15" s="98"/>
      <c r="J15" s="67"/>
      <c r="K15" s="67"/>
      <c r="L15" s="67"/>
      <c r="M15" s="67"/>
      <c r="N15" s="67"/>
    </row>
    <row r="16" spans="1:26">
      <c r="A16" s="67"/>
      <c r="B16" s="67"/>
      <c r="C16" s="97"/>
      <c r="D16" s="97"/>
      <c r="E16" s="67"/>
      <c r="F16" s="67"/>
      <c r="G16" s="67"/>
      <c r="H16" s="67"/>
      <c r="I16" s="98"/>
      <c r="J16" s="67"/>
      <c r="K16" s="67"/>
      <c r="L16" s="67"/>
      <c r="M16" s="67"/>
      <c r="N16" s="67"/>
    </row>
    <row r="17" spans="1:27">
      <c r="A17" s="67"/>
      <c r="B17" s="67"/>
      <c r="C17" s="97"/>
      <c r="D17" s="97"/>
      <c r="E17" s="67"/>
      <c r="F17" s="67"/>
      <c r="G17" s="67"/>
      <c r="H17" s="67"/>
      <c r="I17" s="98"/>
      <c r="J17" s="67"/>
      <c r="K17" s="67"/>
      <c r="L17" s="67"/>
      <c r="M17" s="67"/>
      <c r="N17" s="67"/>
    </row>
    <row r="18" spans="1:27">
      <c r="A18" s="67"/>
      <c r="B18" s="67"/>
      <c r="C18" s="97"/>
      <c r="D18" s="97"/>
      <c r="E18" s="67"/>
      <c r="F18" s="67"/>
      <c r="G18" s="67"/>
      <c r="H18" s="67"/>
      <c r="I18" s="98"/>
      <c r="J18" s="67"/>
      <c r="K18" s="67"/>
      <c r="L18" s="67"/>
      <c r="M18" s="67"/>
      <c r="N18" s="67"/>
    </row>
    <row r="19" spans="1:27">
      <c r="A19" s="67"/>
      <c r="B19" s="67"/>
      <c r="C19" s="97"/>
      <c r="D19" s="97"/>
      <c r="E19" s="67"/>
      <c r="F19" s="67"/>
      <c r="G19" s="67"/>
      <c r="H19" s="67"/>
      <c r="I19" s="98"/>
      <c r="J19" s="67"/>
      <c r="K19" s="67"/>
      <c r="L19" s="67"/>
      <c r="M19" s="67"/>
      <c r="N19" s="67"/>
    </row>
    <row r="20" spans="1:27">
      <c r="A20" s="67"/>
      <c r="B20" s="67"/>
      <c r="C20" s="97"/>
      <c r="D20" s="97"/>
      <c r="E20" s="67"/>
      <c r="F20" s="67"/>
      <c r="G20" s="67"/>
      <c r="H20" s="67"/>
      <c r="I20" s="98"/>
      <c r="J20" s="67"/>
      <c r="K20" s="67"/>
      <c r="L20" s="67"/>
      <c r="M20" s="67"/>
      <c r="N20" s="67"/>
    </row>
    <row r="21" spans="1:27">
      <c r="A21" s="67"/>
      <c r="B21" s="67"/>
      <c r="C21" s="97"/>
      <c r="D21" s="97"/>
      <c r="E21" s="67"/>
      <c r="F21" s="67"/>
      <c r="G21" s="67"/>
      <c r="H21" s="67"/>
      <c r="I21" s="98"/>
      <c r="J21" s="67"/>
      <c r="K21" s="67"/>
      <c r="L21" s="67"/>
      <c r="M21" s="67"/>
      <c r="N21" s="67"/>
    </row>
    <row r="22" spans="1:27">
      <c r="A22" s="67"/>
      <c r="B22" s="67"/>
      <c r="C22" s="97"/>
      <c r="D22" s="97"/>
      <c r="E22" s="67"/>
      <c r="F22" s="67"/>
      <c r="G22" s="67"/>
      <c r="H22" s="67"/>
      <c r="I22" s="98"/>
      <c r="J22" s="67"/>
      <c r="K22" s="67"/>
      <c r="L22" s="67"/>
      <c r="M22" s="67"/>
      <c r="N22" s="67"/>
    </row>
    <row r="23" spans="1:27">
      <c r="A23" s="67"/>
      <c r="B23" s="67"/>
      <c r="C23" s="97"/>
      <c r="D23" s="97"/>
      <c r="E23" s="67"/>
      <c r="F23" s="67"/>
      <c r="G23" s="67"/>
      <c r="H23" s="67"/>
      <c r="I23" s="98"/>
      <c r="J23" s="67"/>
      <c r="K23" s="67"/>
      <c r="L23" s="67"/>
      <c r="M23" s="67"/>
      <c r="N23" s="67"/>
    </row>
    <row r="24" spans="1:27">
      <c r="A24" s="67"/>
      <c r="B24" s="67"/>
      <c r="C24" s="97"/>
      <c r="D24" s="97"/>
      <c r="E24" s="67"/>
      <c r="F24" s="67"/>
      <c r="G24" s="67"/>
      <c r="H24" s="67"/>
      <c r="I24" s="98"/>
      <c r="J24" s="67"/>
      <c r="K24" s="67"/>
      <c r="L24" s="67"/>
      <c r="M24" s="67"/>
      <c r="N24" s="67"/>
    </row>
    <row r="25" spans="1:27">
      <c r="A25" s="67"/>
      <c r="B25" s="67"/>
      <c r="C25" s="97"/>
      <c r="D25" s="97"/>
      <c r="E25" s="67"/>
      <c r="F25" s="67"/>
      <c r="G25" s="67"/>
      <c r="H25" s="67"/>
      <c r="I25" s="98"/>
      <c r="J25" s="67"/>
      <c r="K25" s="67"/>
      <c r="L25" s="67"/>
      <c r="M25" s="67"/>
      <c r="N25" s="67"/>
    </row>
    <row r="26" spans="1:27">
      <c r="A26" s="67"/>
      <c r="B26" s="67"/>
      <c r="C26" s="97"/>
      <c r="D26" s="97"/>
      <c r="E26" s="67"/>
      <c r="F26" s="67"/>
      <c r="G26" s="67"/>
      <c r="H26" s="67"/>
      <c r="I26" s="98"/>
      <c r="J26" s="67"/>
      <c r="K26" s="67"/>
      <c r="L26" s="67"/>
      <c r="M26" s="67"/>
      <c r="N26" s="67"/>
    </row>
    <row r="27" spans="1:27">
      <c r="A27" s="67"/>
      <c r="B27" s="67"/>
      <c r="C27" s="97"/>
      <c r="D27" s="97"/>
      <c r="E27" s="67"/>
      <c r="F27" s="67"/>
      <c r="G27" s="67"/>
      <c r="H27" s="67"/>
      <c r="I27" s="98"/>
      <c r="J27" s="67"/>
      <c r="K27" s="67"/>
      <c r="L27" s="67"/>
      <c r="M27" s="67"/>
      <c r="N27" s="67"/>
    </row>
    <row r="28" spans="1:27" ht="12.75" customHeight="1">
      <c r="A28" s="67"/>
      <c r="B28" s="67"/>
      <c r="C28" s="68"/>
      <c r="D28" s="67"/>
      <c r="E28" s="67"/>
      <c r="F28" s="67"/>
      <c r="G28" s="67"/>
      <c r="H28" s="67"/>
      <c r="I28" s="67"/>
      <c r="J28" s="67"/>
      <c r="K28" s="67"/>
      <c r="L28" s="67"/>
      <c r="M28" s="67"/>
      <c r="N28" s="67"/>
    </row>
    <row r="29" spans="1:27" ht="6" customHeight="1">
      <c r="A29" s="67"/>
      <c r="B29" s="90"/>
      <c r="C29" s="89"/>
      <c r="D29" s="88"/>
      <c r="E29" s="88"/>
      <c r="F29" s="88"/>
      <c r="G29" s="88"/>
      <c r="H29" s="88"/>
      <c r="I29" s="88"/>
      <c r="J29" s="88"/>
      <c r="K29" s="88"/>
      <c r="L29" s="88"/>
      <c r="M29" s="88"/>
      <c r="N29" s="88"/>
      <c r="O29" s="18"/>
      <c r="P29" s="121"/>
    </row>
    <row r="30" spans="1:27" ht="15" customHeight="1">
      <c r="A30" s="67"/>
      <c r="B30" s="91"/>
      <c r="C30" s="67"/>
      <c r="D30" s="67"/>
      <c r="E30" s="155" t="s">
        <v>47</v>
      </c>
      <c r="F30" s="155"/>
      <c r="G30" s="155"/>
      <c r="H30" s="155"/>
      <c r="I30" s="155"/>
      <c r="J30" s="155"/>
      <c r="K30" s="155"/>
      <c r="L30" s="155"/>
      <c r="M30" s="155"/>
      <c r="N30" s="67"/>
      <c r="P30" s="125"/>
      <c r="Q30" s="122"/>
      <c r="R30" s="123"/>
      <c r="S30" s="96"/>
      <c r="T30" s="96"/>
      <c r="U30" s="124"/>
      <c r="V30" s="96"/>
      <c r="W30" s="124"/>
      <c r="X30" s="96"/>
      <c r="Y30" s="96"/>
      <c r="Z30" s="123"/>
      <c r="AA30" s="123"/>
    </row>
    <row r="31" spans="1:27" ht="3.75" customHeight="1">
      <c r="A31" s="67"/>
      <c r="B31" s="91"/>
      <c r="C31" s="86"/>
      <c r="D31" s="84"/>
      <c r="E31" s="67"/>
      <c r="F31" s="67"/>
      <c r="G31" s="67"/>
      <c r="H31" s="67"/>
      <c r="I31" s="67"/>
      <c r="J31" s="67"/>
      <c r="K31" s="67"/>
      <c r="L31" s="67"/>
      <c r="M31" s="67"/>
      <c r="N31" s="67"/>
      <c r="P31" s="125"/>
    </row>
    <row r="32" spans="1:27" ht="12.75" customHeight="1">
      <c r="A32" s="67"/>
      <c r="B32" s="91"/>
      <c r="C32" s="150" t="str">
        <f>IF(Front!D36= "","","Unit Size")</f>
        <v>Unit Size</v>
      </c>
      <c r="D32" s="150"/>
      <c r="E32" s="84" t="str">
        <f>IF(Front!D36= "","",VLOOKUP(VLOOKUP(Front!D36,Data!$B$3:$X$38,10,FALSE),Airflow!$AW$6:$BF$9,2,FALSE))</f>
        <v>Tap</v>
      </c>
      <c r="F32" s="84">
        <f>IFERROR(IF(VLOOKUP(VLOOKUP(Front!D36,Data!$B$3:$X$38,10,FALSE),Airflow!$AW$6:$BF$9,3,FALSE)= "","",VLOOKUP(VLOOKUP(Front!D36,Data!$B$3:$X$38,10,FALSE),Airflow!$AW$6:$BF$9,3,FALSE)),"")</f>
        <v>0.1</v>
      </c>
      <c r="G32" s="84">
        <f>IFERROR(IF(VLOOKUP(VLOOKUP(Front!D36,Data!$B$3:$X$38,10,FALSE),Airflow!$AW$6:$BF$9,4,FALSE)= "","",VLOOKUP(VLOOKUP(Front!D36,Data!$B$3:$X$38,10,FALSE),Airflow!$AW$6:$BF$9,4,FALSE)),"")</f>
        <v>0.2</v>
      </c>
      <c r="H32" s="84">
        <f>IFERROR(IF(VLOOKUP(VLOOKUP(Front!D36,Data!$B$3:$X$38,10,FALSE),Airflow!$AW$6:$BF$9,5,FALSE)= "","",VLOOKUP(VLOOKUP(Front!D36,Data!$B$3:$X$38,10,FALSE),Airflow!$AW$6:$BF$9,5,FALSE)),"")</f>
        <v>0.3</v>
      </c>
      <c r="I32" s="84">
        <f>IFERROR(IF(VLOOKUP(VLOOKUP(Front!D36,Data!$B$3:$X$38,10,FALSE),Airflow!$AW$6:$BF$9,6,FALSE)= "","",VLOOKUP(VLOOKUP(Front!D36,Data!$B$3:$X$38,10,FALSE),Airflow!$AW$6:$BF$9,6,FALSE)),"")</f>
        <v>0.4</v>
      </c>
      <c r="J32" s="84">
        <f>IFERROR(IF(VLOOKUP(VLOOKUP(Front!D36,Data!$B$3:$X$38,10,FALSE),Airflow!$AW$6:$BF$9,7,FALSE)= "","",VLOOKUP(VLOOKUP(Front!D36,Data!$B$3:$X$38,10,FALSE),Airflow!$AW$6:$BF$9,7,FALSE)),"")</f>
        <v>0.5</v>
      </c>
      <c r="K32" s="84">
        <f>IFERROR(IF(VLOOKUP(VLOOKUP(Front!D36,Data!$B$3:$X$38,10,FALSE),Airflow!$AW$6:$BF$9,8,FALSE)= "","",VLOOKUP(VLOOKUP(Front!D36,Data!$B$3:$X$38,10,FALSE),Airflow!$AW$6:$BF$9,8,FALSE)),"")</f>
        <v>0.6</v>
      </c>
      <c r="L32" s="84">
        <f>IFERROR(IF(VLOOKUP(VLOOKUP(Front!D36,Data!$B$3:$X$38,10,FALSE),Airflow!$AW$6:$BF$9,9,FALSE)= "","",VLOOKUP(VLOOKUP(Front!D36,Data!$B$3:$X$38,10,FALSE),Airflow!$AW$6:$BF$9,9,FALSE)),"")</f>
        <v>0.7</v>
      </c>
      <c r="M32" s="84">
        <f>IFERROR(IF(VLOOKUP(VLOOKUP(Front!D36,Data!$B$3:$X$38,10,FALSE),Airflow!$AW$6:$BF$9,10,FALSE)= "","",VLOOKUP(VLOOKUP(Front!D36,Data!$B$3:$X$38,10,FALSE),Airflow!$AW$6:$BF$9,10,FALSE)),"")</f>
        <v>0.8</v>
      </c>
      <c r="N32" s="84">
        <f>IFERROR(IF(VLOOKUP(VLOOKUP(Front!D36,Data!$B$3:$X$38,10,FALSE),Airflow!$AW$6:$BH$9,10,FALSE)= "","",VLOOKUP(VLOOKUP(Front!D36,Data!$B$3:$X$38,10,FALSE),Airflow!$AW$6:$BH$9,11,FALSE)),"")</f>
        <v>0.9</v>
      </c>
      <c r="O32" s="84" t="str">
        <f>IFERROR(IF(VLOOKUP(VLOOKUP(Front!D36,Data!$B$3:$X$38,10,FALSE),Airflow!$AW$6:$BH$9,10,FALSE)= "","",VLOOKUP(VLOOKUP(Front!D36,Data!$B$3:$X$38,10,FALSE),Airflow!$AW$6:$BH$9,12,FALSE)),"")</f>
        <v>1.0</v>
      </c>
      <c r="P32" s="135"/>
      <c r="Q32" s="131"/>
      <c r="R32" s="131"/>
      <c r="S32" s="134"/>
      <c r="T32" s="131"/>
      <c r="U32" s="131"/>
      <c r="V32" s="134"/>
      <c r="W32" s="134"/>
      <c r="X32" s="134"/>
      <c r="Y32" s="134"/>
      <c r="Z32" s="134"/>
      <c r="AA32" s="134"/>
    </row>
    <row r="33" spans="1:27" ht="12.75" customHeight="1">
      <c r="A33" s="67"/>
      <c r="B33" s="91"/>
      <c r="C33" s="150" t="str">
        <f>IF(Front!D36= "","",Front!D36)</f>
        <v>AEFE3A00S1HH2</v>
      </c>
      <c r="D33" s="150"/>
      <c r="E33" s="85">
        <f>IFERROR(IF(VLOOKUP(VLOOKUP($C$33,Data!$B$3:$AB$38,7,FALSE)&amp;"_"&amp;VLOOKUP($C$33,Data!$B$3:$AB$38,24,FALSE)&amp;"_"&amp;VLOOKUP($C$33,Data!$B$3:$AB$38,10,FALSE)&amp;"_1",Airflow!$B$6:$N$25,3,FALSE)="","",VLOOKUP(VLOOKUP($C$33,Data!$B$3:$AB$38,7,FALSE)&amp;"_"&amp;VLOOKUP($C$33,Data!$B$3:$AB$38,24,FALSE)&amp;"_"&amp;VLOOKUP($C$33,Data!$B$3:$AB$38,10,FALSE)&amp;"_1",Airflow!$B$6:$N$25,3,FALSE)),"")</f>
        <v>1</v>
      </c>
      <c r="F33" s="85">
        <f>IFERROR(IF(VLOOKUP(VLOOKUP($C$33,Data!$B$3:$AB$38,7,FALSE)&amp;"_"&amp;VLOOKUP($C$33,Data!$B$3:$AB$38,24,FALSE)&amp;"_"&amp;VLOOKUP($C$33,Data!$B$3:$AB$38,10,FALSE)&amp;"_1",Airflow!$B$6:$N$25,4,FALSE)="","",VLOOKUP(VLOOKUP($C$33,Data!$B$3:$AB$38,7,FALSE)&amp;"_"&amp;VLOOKUP($C$33,Data!$B$3:$AB$38,24,FALSE)&amp;"_"&amp;VLOOKUP($C$33,Data!$B$3:$AB$38,10,FALSE)&amp;"_1",Airflow!$B$6:$N$25,4,FALSE)),"")</f>
        <v>692</v>
      </c>
      <c r="G33" s="85">
        <f>IFERROR(IF(VLOOKUP(VLOOKUP($C$33,Data!$B$3:$AB$38,7,FALSE)&amp;"_"&amp;VLOOKUP($C$33,Data!$B$3:$AB$38,24,FALSE)&amp;"_"&amp;VLOOKUP($C$33,Data!$B$3:$AB$38,10,FALSE)&amp;"_1",Airflow!$B$6:$N$25,5,FALSE)="","",VLOOKUP(VLOOKUP($C$33,Data!$B$3:$AB$38,7,FALSE)&amp;"_"&amp;VLOOKUP($C$33,Data!$B$3:$AB$38,24,FALSE)&amp;"_"&amp;VLOOKUP($C$33,Data!$B$3:$AB$38,10,FALSE)&amp;"_1",Airflow!$B$6:$N$25,5,FALSE)),"")</f>
        <v>642</v>
      </c>
      <c r="H33" s="85">
        <f>IFERROR(IF(VLOOKUP(VLOOKUP($C$33,Data!$B$3:$AB$38,7,FALSE)&amp;"_"&amp;VLOOKUP($C$33,Data!$B$3:$AB$38,24,FALSE)&amp;"_"&amp;VLOOKUP($C$33,Data!$B$3:$AB$38,10,FALSE)&amp;"_1",Airflow!$B$6:$N$25,6,FALSE)="","",VLOOKUP(VLOOKUP($C$33,Data!$B$3:$AB$38,7,FALSE)&amp;"_"&amp;VLOOKUP($C$33,Data!$B$3:$AB$38,24,FALSE)&amp;"_"&amp;VLOOKUP($C$33,Data!$B$3:$AB$38,10,FALSE)&amp;"_1",Airflow!$B$6:$N$25,6,FALSE)),"")</f>
        <v>588</v>
      </c>
      <c r="I33" s="85">
        <f>IFERROR(IF(VLOOKUP(VLOOKUP($C$33,Data!$B$3:$AB$38,7,FALSE)&amp;"_"&amp;VLOOKUP($C$33,Data!$B$3:$AB$38,24,FALSE)&amp;"_"&amp;VLOOKUP($C$33,Data!$B$3:$AB$38,10,FALSE)&amp;"_1",Airflow!$B$6:$N$25,7,FALSE)="","",VLOOKUP(VLOOKUP($C$33,Data!$B$3:$AB$38,7,FALSE)&amp;"_"&amp;VLOOKUP($C$33,Data!$B$3:$AB$38,24,FALSE)&amp;"_"&amp;VLOOKUP($C$33,Data!$B$3:$AB$38,10,FALSE)&amp;"_1",Airflow!$B$6:$N$25,7,FALSE)),"")</f>
        <v>538</v>
      </c>
      <c r="J33" s="85">
        <f>IFERROR(IF(VLOOKUP(VLOOKUP($C$33,Data!$B$3:$AB$38,7,FALSE)&amp;"_"&amp;VLOOKUP($C$33,Data!$B$3:$AB$38,24,FALSE)&amp;"_"&amp;VLOOKUP($C$33,Data!$B$3:$AB$38,10,FALSE)&amp;"_1",Airflow!$B$6:$N$25,8,FALSE)="","",VLOOKUP(VLOOKUP($C$33,Data!$B$3:$AB$38,7,FALSE)&amp;"_"&amp;VLOOKUP($C$33,Data!$B$3:$AB$38,24,FALSE)&amp;"_"&amp;VLOOKUP($C$33,Data!$B$3:$AB$38,10,FALSE)&amp;"_1",Airflow!$B$6:$N$25,8,FALSE)),"")</f>
        <v>491</v>
      </c>
      <c r="K33" s="85">
        <f>IFERROR(IF(VLOOKUP(VLOOKUP($C$33,Data!$B$3:$AB$38,7,FALSE)&amp;"_"&amp;VLOOKUP($C$33,Data!$B$3:$AB$38,24,FALSE)&amp;"_"&amp;VLOOKUP($C$33,Data!$B$3:$AB$38,10,FALSE)&amp;"_1",Airflow!$B$6:$N$25,9,FALSE)="","",VLOOKUP(VLOOKUP($C$33,Data!$B$3:$AB$38,7,FALSE)&amp;"_"&amp;VLOOKUP($C$33,Data!$B$3:$AB$38,24,FALSE)&amp;"_"&amp;VLOOKUP($C$33,Data!$B$3:$AB$38,10,FALSE)&amp;"_1",Airflow!$B$6:$N$25,9,FALSE)),"")</f>
        <v>414</v>
      </c>
      <c r="L33" s="85">
        <f>IFERROR(IF(VLOOKUP(VLOOKUP($C$33,Data!$B$3:$AB$38,7,FALSE)&amp;"_"&amp;VLOOKUP($C$33,Data!$B$3:$AB$38,24,FALSE)&amp;"_"&amp;VLOOKUP($C$33,Data!$B$3:$AB$38,10,FALSE)&amp;"_1",Airflow!$B$6:$N$25,10,FALSE)="","",VLOOKUP(VLOOKUP($C$33,Data!$B$3:$AB$38,7,FALSE)&amp;"_"&amp;VLOOKUP($C$33,Data!$B$3:$AB$38,24,FALSE)&amp;"_"&amp;VLOOKUP($C$33,Data!$B$3:$AB$38,10,FALSE)&amp;"_1",Airflow!$B$6:$N$25,10,FALSE)),"")</f>
        <v>353</v>
      </c>
      <c r="M33" s="85">
        <f>IFERROR(IF(VLOOKUP(VLOOKUP($C$33,Data!$B$3:$AB$38,7,FALSE)&amp;"_"&amp;VLOOKUP($C$33,Data!$B$3:$AB$38,24,FALSE)&amp;"_"&amp;VLOOKUP($C$33,Data!$B$3:$AB$38,10,FALSE)&amp;"_1",Airflow!$B$6:$N$25,11,FALSE)="","",VLOOKUP(VLOOKUP($C$33,Data!$B$3:$AB$38,7,FALSE)&amp;"_"&amp;VLOOKUP($C$33,Data!$B$3:$AB$38,24,FALSE)&amp;"_"&amp;VLOOKUP($C$33,Data!$B$3:$AB$38,10,FALSE)&amp;"_1",Airflow!$B$6:$N$25,11,FALSE)),"")</f>
        <v>298</v>
      </c>
      <c r="N33" s="85">
        <f>IFERROR(IF(VLOOKUP(VLOOKUP($C$33,Data!$B$3:$AB$38,7,FALSE)&amp;"_"&amp;VLOOKUP($C$33,Data!$B$3:$AB$38,24,FALSE)&amp;"_"&amp;VLOOKUP($C$33,Data!$B$3:$AB$38,10,FALSE)&amp;"_1",Airflow!$B$6:$N$25,12,FALSE)="","",VLOOKUP(VLOOKUP($C$33,Data!$B$3:$AB$38,7,FALSE)&amp;"_"&amp;VLOOKUP($C$33,Data!$B$3:$AB$38,24,FALSE)&amp;"_"&amp;VLOOKUP($C$33,Data!$B$3:$AB$38,10,FALSE)&amp;"_1",Airflow!$B$6:$N$25,12,FALSE)),"")</f>
        <v>263</v>
      </c>
      <c r="O33" s="85" t="str">
        <f>IFERROR(IF(VLOOKUP(VLOOKUP($C$33,Data!$B$3:$AB$38,7,FALSE)&amp;"_"&amp;VLOOKUP($C$33,Data!$B$3:$AB$38,24,FALSE)&amp;"_"&amp;VLOOKUP($C$33,Data!$B$3:$AB$38,10,FALSE)&amp;"_1",Airflow!$B$6:$N$25,13,FALSE)="","",VLOOKUP(VLOOKUP($C$33,Data!$B$3:$AB$38,7,FALSE)&amp;"_"&amp;VLOOKUP($C$33,Data!$B$3:$AB$38,24,FALSE)&amp;"_"&amp;VLOOKUP($C$33,Data!$B$3:$AB$38,10,FALSE)&amp;"_1",Airflow!$B$6:$N$25,13,FALSE)),"")</f>
        <v>-</v>
      </c>
      <c r="P33" s="135"/>
      <c r="Q33" s="131"/>
      <c r="R33" s="131"/>
      <c r="S33" s="134"/>
      <c r="T33" s="97"/>
      <c r="U33" s="97"/>
      <c r="V33" s="134"/>
      <c r="W33" s="134"/>
      <c r="X33" s="134"/>
      <c r="Y33" s="134"/>
      <c r="Z33" s="134"/>
      <c r="AA33" s="134"/>
    </row>
    <row r="34" spans="1:27" ht="12.75" customHeight="1">
      <c r="A34" s="30"/>
      <c r="B34" s="92"/>
      <c r="C34" s="83"/>
      <c r="D34" s="83"/>
      <c r="E34" s="85" t="str">
        <f>IFERROR(IF(VLOOKUP(VLOOKUP($C$33,Data!$B$3:$AB$38,7,FALSE)&amp;"_"&amp;VLOOKUP($C$33,Data!$B$3:$AB$38,24,FALSE)&amp;"_"&amp;VLOOKUP($C$33,Data!$B$3:$AB$38,10,FALSE)&amp;"_3",Airflow!$B$6:$N$25,3,FALSE)="","",VLOOKUP(VLOOKUP($C$33,Data!$B$3:$AB$38,7,FALSE)&amp;"_"&amp;VLOOKUP($C$33,Data!$B$3:$AB$38,24,FALSE)&amp;"_"&amp;VLOOKUP($C$33,Data!$B$3:$AB$38,10,FALSE)&amp;"_2",Airflow!$B$6:$N$25,3,FALSE)),"")</f>
        <v>2</v>
      </c>
      <c r="F34" s="85">
        <f>IFERROR(IF(VLOOKUP(VLOOKUP($C$33,Data!$B$3:$AB$38,7,FALSE)&amp;"_"&amp;VLOOKUP($C$33,Data!$B$3:$AB$38,24,FALSE)&amp;"_"&amp;VLOOKUP($C$33,Data!$B$3:$AB$38,10,FALSE)&amp;"_3",Airflow!$B$6:$N$25,4,FALSE)="","",VLOOKUP(VLOOKUP($C$33,Data!$B$3:$AB$38,7,FALSE)&amp;"_"&amp;VLOOKUP($C$33,Data!$B$3:$AB$38,24,FALSE)&amp;"_"&amp;VLOOKUP($C$33,Data!$B$3:$AB$38,10,FALSE)&amp;"_2",Airflow!$B$6:$N$25,4,FALSE)),"")</f>
        <v>876</v>
      </c>
      <c r="G34" s="85">
        <f>IFERROR(IF(VLOOKUP(VLOOKUP($C$33,Data!$B$3:$AB$38,7,FALSE)&amp;"_"&amp;VLOOKUP($C$33,Data!$B$3:$AB$38,24,FALSE)&amp;"_"&amp;VLOOKUP($C$33,Data!$B$3:$AB$38,10,FALSE)&amp;"_3",Airflow!$B$6:$N$25,5,FALSE)="","",VLOOKUP(VLOOKUP($C$33,Data!$B$3:$AB$38,7,FALSE)&amp;"_"&amp;VLOOKUP($C$33,Data!$B$3:$AB$38,24,FALSE)&amp;"_"&amp;VLOOKUP($C$33,Data!$B$3:$AB$38,10,FALSE)&amp;"_2",Airflow!$B$6:$N$25,5,FALSE)),"")</f>
        <v>831</v>
      </c>
      <c r="H34" s="85">
        <f>IFERROR(IF(VLOOKUP(VLOOKUP($C$33,Data!$B$3:$AB$38,7,FALSE)&amp;"_"&amp;VLOOKUP($C$33,Data!$B$3:$AB$38,24,FALSE)&amp;"_"&amp;VLOOKUP($C$33,Data!$B$3:$AB$38,10,FALSE)&amp;"_3",Airflow!$B$6:$N$25,6,FALSE)="","",VLOOKUP(VLOOKUP($C$33,Data!$B$3:$AB$38,7,FALSE)&amp;"_"&amp;VLOOKUP($C$33,Data!$B$3:$AB$38,24,FALSE)&amp;"_"&amp;VLOOKUP($C$33,Data!$B$3:$AB$38,10,FALSE)&amp;"_2",Airflow!$B$6:$N$25,6,FALSE)),"")</f>
        <v>797</v>
      </c>
      <c r="I34" s="85">
        <f>IFERROR(IF(VLOOKUP(VLOOKUP($C$33,Data!$B$3:$AB$38,7,FALSE)&amp;"_"&amp;VLOOKUP($C$33,Data!$B$3:$AB$38,24,FALSE)&amp;"_"&amp;VLOOKUP($C$33,Data!$B$3:$AB$38,10,FALSE)&amp;"_3",Airflow!$B$6:$N$25,7,FALSE)="","",VLOOKUP(VLOOKUP($C$33,Data!$B$3:$AB$38,7,FALSE)&amp;"_"&amp;VLOOKUP($C$33,Data!$B$3:$AB$38,24,FALSE)&amp;"_"&amp;VLOOKUP($C$33,Data!$B$3:$AB$38,10,FALSE)&amp;"_2",Airflow!$B$6:$N$25,7,FALSE)),"")</f>
        <v>757</v>
      </c>
      <c r="J34" s="85">
        <f>IFERROR(IF(VLOOKUP(VLOOKUP($C$33,Data!$B$3:$AB$38,7,FALSE)&amp;"_"&amp;VLOOKUP($C$33,Data!$B$3:$AB$38,24,FALSE)&amp;"_"&amp;VLOOKUP($C$33,Data!$B$3:$AB$38,10,FALSE)&amp;"_3",Airflow!$B$6:$N$25,8,FALSE)="","",VLOOKUP(VLOOKUP($C$33,Data!$B$3:$AB$38,7,FALSE)&amp;"_"&amp;VLOOKUP($C$33,Data!$B$3:$AB$38,24,FALSE)&amp;"_"&amp;VLOOKUP($C$33,Data!$B$3:$AB$38,10,FALSE)&amp;"_2",Airflow!$B$6:$N$25,8,FALSE)),"")</f>
        <v>716</v>
      </c>
      <c r="K34" s="85">
        <f>IFERROR(IF(VLOOKUP(VLOOKUP($C$33,Data!$B$3:$AB$38,7,FALSE)&amp;"_"&amp;VLOOKUP($C$33,Data!$B$3:$AB$38,24,FALSE)&amp;"_"&amp;VLOOKUP($C$33,Data!$B$3:$AB$38,10,FALSE)&amp;"_3",Airflow!$B$6:$N$25,9,FALSE)="","",VLOOKUP(VLOOKUP($C$33,Data!$B$3:$AB$38,7,FALSE)&amp;"_"&amp;VLOOKUP($C$33,Data!$B$3:$AB$38,24,FALSE)&amp;"_"&amp;VLOOKUP($C$33,Data!$B$3:$AB$38,10,FALSE)&amp;"_2",Airflow!$B$6:$N$25,9,FALSE)),"")</f>
        <v>675</v>
      </c>
      <c r="L34" s="85">
        <f>IFERROR(IF(VLOOKUP(VLOOKUP($C$33,Data!$B$3:$AB$38,7,FALSE)&amp;"_"&amp;VLOOKUP($C$33,Data!$B$3:$AB$38,24,FALSE)&amp;"_"&amp;VLOOKUP($C$33,Data!$B$3:$AB$38,10,FALSE)&amp;"_3",Airflow!$B$6:$N$25,10,FALSE)="","",VLOOKUP(VLOOKUP($C$33,Data!$B$3:$AB$38,7,FALSE)&amp;"_"&amp;VLOOKUP($C$33,Data!$B$3:$AB$38,24,FALSE)&amp;"_"&amp;VLOOKUP($C$33,Data!$B$3:$AB$38,10,FALSE)&amp;"_2",Airflow!$B$6:$N$25,10,FALSE)),"")</f>
        <v>635</v>
      </c>
      <c r="M34" s="85">
        <f>IFERROR(IF(VLOOKUP(VLOOKUP($C$33,Data!$B$3:$AB$38,7,FALSE)&amp;"_"&amp;VLOOKUP($C$33,Data!$B$3:$AB$38,24,FALSE)&amp;"_"&amp;VLOOKUP($C$33,Data!$B$3:$AB$38,10,FALSE)&amp;"_3",Airflow!$B$6:$N$25,11,FALSE)="","",VLOOKUP(VLOOKUP($C$33,Data!$B$3:$AB$38,7,FALSE)&amp;"_"&amp;VLOOKUP($C$33,Data!$B$3:$AB$38,24,FALSE)&amp;"_"&amp;VLOOKUP($C$33,Data!$B$3:$AB$38,10,FALSE)&amp;"_2",Airflow!$B$6:$N$25,11,FALSE)),"")</f>
        <v>596</v>
      </c>
      <c r="N34" s="85">
        <f>IFERROR(IF(VLOOKUP(VLOOKUP($C$33,Data!$B$3:$AB$38,7,FALSE)&amp;"_"&amp;VLOOKUP($C$33,Data!$B$3:$AB$38,24,FALSE)&amp;"_"&amp;VLOOKUP($C$33,Data!$B$3:$AB$38,10,FALSE)&amp;"_3",Airflow!$B$6:$N$25,12,FALSE)="","",VLOOKUP(VLOOKUP($C$33,Data!$B$3:$AB$38,7,FALSE)&amp;"_"&amp;VLOOKUP($C$33,Data!$B$3:$AB$38,24,FALSE)&amp;"_"&amp;VLOOKUP($C$33,Data!$B$3:$AB$38,10,FALSE)&amp;"_2",Airflow!$B$6:$N$25,12,FALSE)),"")</f>
        <v>554</v>
      </c>
      <c r="O34" s="85">
        <f>IFERROR(IF(VLOOKUP(VLOOKUP($C$33,Data!$B$3:$AB$38,7,FALSE)&amp;"_"&amp;VLOOKUP($C$33,Data!$B$3:$AB$38,24,FALSE)&amp;"_"&amp;VLOOKUP($C$33,Data!$B$3:$AB$38,10,FALSE)&amp;"_3",Airflow!$B$6:$N$25,13,FALSE)="","",VLOOKUP(VLOOKUP($C$33,Data!$B$3:$AB$38,7,FALSE)&amp;"_"&amp;VLOOKUP($C$33,Data!$B$3:$AB$38,24,FALSE)&amp;"_"&amp;VLOOKUP($C$33,Data!$B$3:$AB$38,10,FALSE)&amp;"_2",Airflow!$B$6:$N$25,13,FALSE)),"")</f>
        <v>498</v>
      </c>
      <c r="P34" s="135"/>
      <c r="Q34" s="131"/>
      <c r="R34" s="131"/>
      <c r="S34" s="134"/>
      <c r="T34" s="97"/>
      <c r="U34" s="97"/>
      <c r="V34" s="97"/>
      <c r="W34" s="97"/>
      <c r="X34" s="97"/>
      <c r="Y34" s="97"/>
      <c r="Z34" s="97"/>
      <c r="AA34" s="97"/>
    </row>
    <row r="35" spans="1:27" ht="12.75" customHeight="1">
      <c r="A35" s="69"/>
      <c r="B35" s="93"/>
      <c r="C35" s="83"/>
      <c r="D35" s="83"/>
      <c r="E35" s="85" t="str">
        <f>IFERROR(IF(VLOOKUP(VLOOKUP($C$33,Data!$B$3:$AB$38,7,FALSE)&amp;"_"&amp;VLOOKUP($C$33,Data!$B$3:$AB$38,24,FALSE)&amp;"_"&amp;VLOOKUP($C$33,Data!$B$3:$AB$38,10,FALSE)&amp;"_3",Airflow!$B$6:$N$25,3,FALSE)="","",VLOOKUP(VLOOKUP($C$33,Data!$B$3:$AB$38,7,FALSE)&amp;"_"&amp;VLOOKUP($C$33,Data!$B$3:$AB$38,24,FALSE)&amp;"_"&amp;VLOOKUP($C$33,Data!$B$3:$AB$38,10,FALSE)&amp;"_3",Airflow!$B$6:$N$25,3,FALSE)),"")</f>
        <v>3</v>
      </c>
      <c r="F35" s="85">
        <f>IFERROR(IF(VLOOKUP(VLOOKUP($C$33,Data!$B$3:$AB$38,7,FALSE)&amp;"_"&amp;VLOOKUP($C$33,Data!$B$3:$AB$38,24,FALSE)&amp;"_"&amp;VLOOKUP($C$33,Data!$B$3:$AB$38,10,FALSE)&amp;"_3",Airflow!$B$6:$N$25,4,FALSE)="","",VLOOKUP(VLOOKUP($C$33,Data!$B$3:$AB$38,7,FALSE)&amp;"_"&amp;VLOOKUP($C$33,Data!$B$3:$AB$38,24,FALSE)&amp;"_"&amp;VLOOKUP($C$33,Data!$B$3:$AB$38,10,FALSE)&amp;"_3",Airflow!$B$6:$N$25,4,FALSE)),"")</f>
        <v>1066</v>
      </c>
      <c r="G35" s="85">
        <f>IFERROR(IF(VLOOKUP(VLOOKUP($C$33,Data!$B$3:$AB$38,7,FALSE)&amp;"_"&amp;VLOOKUP($C$33,Data!$B$3:$AB$38,24,FALSE)&amp;"_"&amp;VLOOKUP($C$33,Data!$B$3:$AB$38,10,FALSE)&amp;"_3",Airflow!$B$6:$N$25,5,FALSE)="","",VLOOKUP(VLOOKUP($C$33,Data!$B$3:$AB$38,7,FALSE)&amp;"_"&amp;VLOOKUP($C$33,Data!$B$3:$AB$38,24,FALSE)&amp;"_"&amp;VLOOKUP($C$33,Data!$B$3:$AB$38,10,FALSE)&amp;"_3",Airflow!$B$6:$N$25,5,FALSE)),"")</f>
        <v>1029</v>
      </c>
      <c r="H35" s="85">
        <f>IFERROR(IF(VLOOKUP(VLOOKUP($C$33,Data!$B$3:$AB$38,7,FALSE)&amp;"_"&amp;VLOOKUP($C$33,Data!$B$3:$AB$38,24,FALSE)&amp;"_"&amp;VLOOKUP($C$33,Data!$B$3:$AB$38,10,FALSE)&amp;"_3",Airflow!$B$6:$N$25,6,FALSE)="","",VLOOKUP(VLOOKUP($C$33,Data!$B$3:$AB$38,7,FALSE)&amp;"_"&amp;VLOOKUP($C$33,Data!$B$3:$AB$38,24,FALSE)&amp;"_"&amp;VLOOKUP($C$33,Data!$B$3:$AB$38,10,FALSE)&amp;"_3",Airflow!$B$6:$N$25,6,FALSE)),"")</f>
        <v>994</v>
      </c>
      <c r="I35" s="85">
        <f>IFERROR(IF(VLOOKUP(VLOOKUP($C$33,Data!$B$3:$AB$38,7,FALSE)&amp;"_"&amp;VLOOKUP($C$33,Data!$B$3:$AB$38,24,FALSE)&amp;"_"&amp;VLOOKUP($C$33,Data!$B$3:$AB$38,10,FALSE)&amp;"_3",Airflow!$B$6:$N$25,7,FALSE)="","",VLOOKUP(VLOOKUP($C$33,Data!$B$3:$AB$38,7,FALSE)&amp;"_"&amp;VLOOKUP($C$33,Data!$B$3:$AB$38,24,FALSE)&amp;"_"&amp;VLOOKUP($C$33,Data!$B$3:$AB$38,10,FALSE)&amp;"_3",Airflow!$B$6:$N$25,7,FALSE)),"")</f>
        <v>966</v>
      </c>
      <c r="J35" s="85">
        <f>IFERROR(IF(VLOOKUP(VLOOKUP($C$33,Data!$B$3:$AB$38,7,FALSE)&amp;"_"&amp;VLOOKUP($C$33,Data!$B$3:$AB$38,24,FALSE)&amp;"_"&amp;VLOOKUP($C$33,Data!$B$3:$AB$38,10,FALSE)&amp;"_3",Airflow!$B$6:$N$25,8,FALSE)="","",VLOOKUP(VLOOKUP($C$33,Data!$B$3:$AB$38,7,FALSE)&amp;"_"&amp;VLOOKUP($C$33,Data!$B$3:$AB$38,24,FALSE)&amp;"_"&amp;VLOOKUP($C$33,Data!$B$3:$AB$38,10,FALSE)&amp;"_3",Airflow!$B$6:$N$25,8,FALSE)),"")</f>
        <v>935</v>
      </c>
      <c r="K35" s="85">
        <f>IFERROR(IF(VLOOKUP(VLOOKUP($C$33,Data!$B$3:$AB$38,7,FALSE)&amp;"_"&amp;VLOOKUP($C$33,Data!$B$3:$AB$38,24,FALSE)&amp;"_"&amp;VLOOKUP($C$33,Data!$B$3:$AB$38,10,FALSE)&amp;"_3",Airflow!$B$6:$N$25,9,FALSE)="","",VLOOKUP(VLOOKUP($C$33,Data!$B$3:$AB$38,7,FALSE)&amp;"_"&amp;VLOOKUP($C$33,Data!$B$3:$AB$38,24,FALSE)&amp;"_"&amp;VLOOKUP($C$33,Data!$B$3:$AB$38,10,FALSE)&amp;"_3",Airflow!$B$6:$N$25,9,FALSE)),"")</f>
        <v>903</v>
      </c>
      <c r="L35" s="85">
        <f>IFERROR(IF(VLOOKUP(VLOOKUP($C$33,Data!$B$3:$AB$38,7,FALSE)&amp;"_"&amp;VLOOKUP($C$33,Data!$B$3:$AB$38,24,FALSE)&amp;"_"&amp;VLOOKUP($C$33,Data!$B$3:$AB$38,10,FALSE)&amp;"_3",Airflow!$B$6:$N$25,10,FALSE)="","",VLOOKUP(VLOOKUP($C$33,Data!$B$3:$AB$38,7,FALSE)&amp;"_"&amp;VLOOKUP($C$33,Data!$B$3:$AB$38,24,FALSE)&amp;"_"&amp;VLOOKUP($C$33,Data!$B$3:$AB$38,10,FALSE)&amp;"_3",Airflow!$B$6:$N$25,10,FALSE)),"")</f>
        <v>869</v>
      </c>
      <c r="M35" s="85">
        <f>IFERROR(IF(VLOOKUP(VLOOKUP($C$33,Data!$B$3:$AB$38,7,FALSE)&amp;"_"&amp;VLOOKUP($C$33,Data!$B$3:$AB$38,24,FALSE)&amp;"_"&amp;VLOOKUP($C$33,Data!$B$3:$AB$38,10,FALSE)&amp;"_3",Airflow!$B$6:$N$25,11,FALSE)="","",VLOOKUP(VLOOKUP($C$33,Data!$B$3:$AB$38,7,FALSE)&amp;"_"&amp;VLOOKUP($C$33,Data!$B$3:$AB$38,24,FALSE)&amp;"_"&amp;VLOOKUP($C$33,Data!$B$3:$AB$38,10,FALSE)&amp;"_3",Airflow!$B$6:$N$25,11,FALSE)),"")</f>
        <v>839</v>
      </c>
      <c r="N35" s="85">
        <f>IFERROR(IF(VLOOKUP(VLOOKUP($C$33,Data!$B$3:$AB$38,7,FALSE)&amp;"_"&amp;VLOOKUP($C$33,Data!$B$3:$AB$38,24,FALSE)&amp;"_"&amp;VLOOKUP($C$33,Data!$B$3:$AB$38,10,FALSE)&amp;"_3",Airflow!$B$6:$N$25,12,FALSE)="","",VLOOKUP(VLOOKUP($C$33,Data!$B$3:$AB$38,7,FALSE)&amp;"_"&amp;VLOOKUP($C$33,Data!$B$3:$AB$38,24,FALSE)&amp;"_"&amp;VLOOKUP($C$33,Data!$B$3:$AB$38,10,FALSE)&amp;"_3",Airflow!$B$6:$N$25,12,FALSE)),"")</f>
        <v>806</v>
      </c>
      <c r="O35" s="85">
        <f>IFERROR(IF(VLOOKUP(VLOOKUP($C$33,Data!$B$3:$AB$38,7,FALSE)&amp;"_"&amp;VLOOKUP($C$33,Data!$B$3:$AB$38,24,FALSE)&amp;"_"&amp;VLOOKUP($C$33,Data!$B$3:$AB$38,10,FALSE)&amp;"_3",Airflow!$B$6:$N$25,13,FALSE)="","",VLOOKUP(VLOOKUP($C$33,Data!$B$3:$AB$38,7,FALSE)&amp;"_"&amp;VLOOKUP($C$33,Data!$B$3:$AB$38,24,FALSE)&amp;"_"&amp;VLOOKUP($C$33,Data!$B$3:$AB$38,10,FALSE)&amp;"_3",Airflow!$B$6:$N$25,13,FALSE)),"")</f>
        <v>773</v>
      </c>
      <c r="P35" s="135"/>
      <c r="Q35" s="86"/>
      <c r="R35" s="99"/>
      <c r="S35" s="99"/>
      <c r="T35" s="99"/>
      <c r="U35" s="99"/>
      <c r="V35" s="99"/>
      <c r="W35" s="99"/>
      <c r="X35" s="99"/>
      <c r="Y35" s="99"/>
      <c r="Z35" s="99"/>
      <c r="AA35" s="99"/>
    </row>
    <row r="36" spans="1:27" ht="12.75" customHeight="1">
      <c r="A36" s="67"/>
      <c r="B36" s="91"/>
      <c r="C36" s="83"/>
      <c r="D36" s="83"/>
      <c r="E36" s="85" t="str">
        <f>IFERROR(IF(VLOOKUP(VLOOKUP($C$33,Data!$B$3:$AB$38,7,FALSE)&amp;"_"&amp;VLOOKUP($C$33,Data!$B$3:$AB$38,24,FALSE)&amp;"_"&amp;VLOOKUP($C$33,Data!$B$3:$AB$38,10,FALSE)&amp;"_4",Airflow!$B$6:$N$25,3,FALSE)="","",VLOOKUP(VLOOKUP($C$33,Data!$B$3:$AB$38,7,FALSE)&amp;"_"&amp;VLOOKUP($C$33,Data!$B$3:$AB$38,24,FALSE)&amp;"_"&amp;VLOOKUP($C$33,Data!$B$3:$AB$38,10,FALSE)&amp;"_4",Airflow!$B$6:$N$25,3,FALSE)),"")</f>
        <v>4+</v>
      </c>
      <c r="F36" s="85">
        <f>IFERROR(IF(VLOOKUP(VLOOKUP($C$33,Data!$B$3:$AB$38,7,FALSE)&amp;"_"&amp;VLOOKUP($C$33,Data!$B$3:$AB$38,24,FALSE)&amp;"_"&amp;VLOOKUP($C$33,Data!$B$3:$AB$38,10,FALSE)&amp;"_4",Airflow!$B$6:$N$25,4,FALSE)="","",VLOOKUP(VLOOKUP($C$33,Data!$B$3:$AB$38,7,FALSE)&amp;"_"&amp;VLOOKUP($C$33,Data!$B$3:$AB$38,24,FALSE)&amp;"_"&amp;VLOOKUP($C$33,Data!$B$3:$AB$38,10,FALSE)&amp;"_4",Airflow!$B$6:$N$25,4,FALSE)),"")</f>
        <v>1189</v>
      </c>
      <c r="G36" s="85">
        <f>IFERROR(IF(VLOOKUP(VLOOKUP($C$33,Data!$B$3:$AB$38,7,FALSE)&amp;"_"&amp;VLOOKUP($C$33,Data!$B$3:$AB$38,24,FALSE)&amp;"_"&amp;VLOOKUP($C$33,Data!$B$3:$AB$38,10,FALSE)&amp;"_4",Airflow!$B$6:$N$25,5,FALSE)="","",VLOOKUP(VLOOKUP($C$33,Data!$B$3:$AB$38,7,FALSE)&amp;"_"&amp;VLOOKUP($C$33,Data!$B$3:$AB$38,24,FALSE)&amp;"_"&amp;VLOOKUP($C$33,Data!$B$3:$AB$38,10,FALSE)&amp;"_4",Airflow!$B$6:$N$25,5,FALSE)),"")</f>
        <v>1151</v>
      </c>
      <c r="H36" s="85">
        <f>IFERROR(IF(VLOOKUP(VLOOKUP($C$33,Data!$B$3:$AB$38,7,FALSE)&amp;"_"&amp;VLOOKUP($C$33,Data!$B$3:$AB$38,24,FALSE)&amp;"_"&amp;VLOOKUP($C$33,Data!$B$3:$AB$38,10,FALSE)&amp;"_4",Airflow!$B$6:$N$25,6,FALSE)="","",VLOOKUP(VLOOKUP($C$33,Data!$B$3:$AB$38,7,FALSE)&amp;"_"&amp;VLOOKUP($C$33,Data!$B$3:$AB$38,24,FALSE)&amp;"_"&amp;VLOOKUP($C$33,Data!$B$3:$AB$38,10,FALSE)&amp;"_4",Airflow!$B$6:$N$25,6,FALSE)),"")</f>
        <v>1117</v>
      </c>
      <c r="I36" s="85">
        <f>IFERROR(IF(VLOOKUP(VLOOKUP($C$33,Data!$B$3:$AB$38,7,FALSE)&amp;"_"&amp;VLOOKUP($C$33,Data!$B$3:$AB$38,24,FALSE)&amp;"_"&amp;VLOOKUP($C$33,Data!$B$3:$AB$38,10,FALSE)&amp;"_4",Airflow!$B$6:$N$25,7,FALSE)="","",VLOOKUP(VLOOKUP($C$33,Data!$B$3:$AB$38,7,FALSE)&amp;"_"&amp;VLOOKUP($C$33,Data!$B$3:$AB$38,24,FALSE)&amp;"_"&amp;VLOOKUP($C$33,Data!$B$3:$AB$38,10,FALSE)&amp;"_4",Airflow!$B$6:$N$25,7,FALSE)),"")</f>
        <v>1091</v>
      </c>
      <c r="J36" s="85">
        <f>IFERROR(IF(VLOOKUP(VLOOKUP($C$33,Data!$B$3:$AB$38,7,FALSE)&amp;"_"&amp;VLOOKUP($C$33,Data!$B$3:$AB$38,24,FALSE)&amp;"_"&amp;VLOOKUP($C$33,Data!$B$3:$AB$38,10,FALSE)&amp;"_4",Airflow!$B$6:$N$25,8,FALSE)="","",VLOOKUP(VLOOKUP($C$33,Data!$B$3:$AB$38,7,FALSE)&amp;"_"&amp;VLOOKUP($C$33,Data!$B$3:$AB$38,24,FALSE)&amp;"_"&amp;VLOOKUP($C$33,Data!$B$3:$AB$38,10,FALSE)&amp;"_4",Airflow!$B$6:$N$25,8,FALSE)),"")</f>
        <v>1065</v>
      </c>
      <c r="K36" s="85">
        <f>IFERROR(IF(VLOOKUP(VLOOKUP($C$33,Data!$B$3:$AB$38,7,FALSE)&amp;"_"&amp;VLOOKUP($C$33,Data!$B$3:$AB$38,24,FALSE)&amp;"_"&amp;VLOOKUP($C$33,Data!$B$3:$AB$38,10,FALSE)&amp;"_4",Airflow!$B$6:$N$25,9,FALSE)="","",VLOOKUP(VLOOKUP($C$33,Data!$B$3:$AB$38,7,FALSE)&amp;"_"&amp;VLOOKUP($C$33,Data!$B$3:$AB$38,24,FALSE)&amp;"_"&amp;VLOOKUP($C$33,Data!$B$3:$AB$38,10,FALSE)&amp;"_4",Airflow!$B$6:$N$25,9,FALSE)),"")</f>
        <v>1041</v>
      </c>
      <c r="L36" s="85">
        <f>IFERROR(IF(VLOOKUP(VLOOKUP($C$33,Data!$B$3:$AB$38,7,FALSE)&amp;"_"&amp;VLOOKUP($C$33,Data!$B$3:$AB$38,24,FALSE)&amp;"_"&amp;VLOOKUP($C$33,Data!$B$3:$AB$38,10,FALSE)&amp;"_4",Airflow!$B$6:$N$25,10,FALSE)="","",VLOOKUP(VLOOKUP($C$33,Data!$B$3:$AB$38,7,FALSE)&amp;"_"&amp;VLOOKUP($C$33,Data!$B$3:$AB$38,24,FALSE)&amp;"_"&amp;VLOOKUP($C$33,Data!$B$3:$AB$38,10,FALSE)&amp;"_4",Airflow!$B$6:$N$25,10,FALSE)),"")</f>
        <v>1010</v>
      </c>
      <c r="M36" s="85">
        <f>IFERROR(IF(VLOOKUP(VLOOKUP($C$33,Data!$B$3:$AB$38,7,FALSE)&amp;"_"&amp;VLOOKUP($C$33,Data!$B$3:$AB$38,24,FALSE)&amp;"_"&amp;VLOOKUP($C$33,Data!$B$3:$AB$38,10,FALSE)&amp;"_4",Airflow!$B$6:$N$25,11,FALSE)="","",VLOOKUP(VLOOKUP($C$33,Data!$B$3:$AB$38,7,FALSE)&amp;"_"&amp;VLOOKUP($C$33,Data!$B$3:$AB$38,24,FALSE)&amp;"_"&amp;VLOOKUP($C$33,Data!$B$3:$AB$38,10,FALSE)&amp;"_4",Airflow!$B$6:$N$25,11,FALSE)),"")</f>
        <v>981</v>
      </c>
      <c r="N36" s="85">
        <f>IFERROR(IF(VLOOKUP(VLOOKUP($C$33,Data!$B$3:$AB$38,7,FALSE)&amp;"_"&amp;VLOOKUP($C$33,Data!$B$3:$AB$38,24,FALSE)&amp;"_"&amp;VLOOKUP($C$33,Data!$B$3:$AB$38,10,FALSE)&amp;"_4",Airflow!$B$6:$N$25,12,FALSE)="","",VLOOKUP(VLOOKUP($C$33,Data!$B$3:$AB$38,7,FALSE)&amp;"_"&amp;VLOOKUP($C$33,Data!$B$3:$AB$38,24,FALSE)&amp;"_"&amp;VLOOKUP($C$33,Data!$B$3:$AB$38,10,FALSE)&amp;"_4",Airflow!$B$6:$N$25,12,FALSE)),"")</f>
        <v>953</v>
      </c>
      <c r="O36" s="85">
        <f>IFERROR(IF(VLOOKUP(VLOOKUP($C$33,Data!$B$3:$AB$38,7,FALSE)&amp;"_"&amp;VLOOKUP($C$33,Data!$B$3:$AB$38,24,FALSE)&amp;"_"&amp;VLOOKUP($C$33,Data!$B$3:$AB$38,10,FALSE)&amp;"_4",Airflow!$B$6:$N$25,13,FALSE)="","",VLOOKUP(VLOOKUP($C$33,Data!$B$3:$AB$38,7,FALSE)&amp;"_"&amp;VLOOKUP($C$33,Data!$B$3:$AB$38,24,FALSE)&amp;"_"&amp;VLOOKUP($C$33,Data!$B$3:$AB$38,10,FALSE)&amp;"_4",Airflow!$B$6:$N$25,13,FALSE)),"")</f>
        <v>923</v>
      </c>
      <c r="P36" s="135"/>
      <c r="Q36" s="74"/>
      <c r="R36" s="99"/>
      <c r="S36" s="99"/>
      <c r="T36" s="99"/>
      <c r="U36" s="99"/>
      <c r="V36" s="99"/>
      <c r="W36" s="99"/>
      <c r="X36" s="99"/>
      <c r="Y36" s="99"/>
      <c r="Z36" s="99"/>
      <c r="AA36" s="99"/>
    </row>
    <row r="37" spans="1:27" ht="12.75" customHeight="1">
      <c r="A37" s="67"/>
      <c r="B37" s="91"/>
      <c r="C37" s="83"/>
      <c r="D37" s="83"/>
      <c r="E37" s="85" t="str">
        <f>IFERROR(IF(VLOOKUP(VLOOKUP($C$33,Data!$B$3:$AB$38,7,FALSE)&amp;"_"&amp;VLOOKUP($C$33,Data!$B$3:$AB$38,24,FALSE)&amp;"_"&amp;VLOOKUP($C$33,Data!$B$3:$AB$38,10,FALSE)&amp;"_5",Airflow!$B$6:$N$25,3,FALSE)="","",VLOOKUP(VLOOKUP($C$33,Data!$B$3:$AB$38,7,FALSE)&amp;"_"&amp;VLOOKUP($C$33,Data!$B$3:$AB$38,24,FALSE)&amp;"_"&amp;VLOOKUP($C$33,Data!$B$3:$AB$38,10,FALSE)&amp;"_5",Airflow!$B$6:$N$25,3,FALSE)),"")</f>
        <v>5*</v>
      </c>
      <c r="F37" s="85">
        <f>IFERROR(IF(VLOOKUP(VLOOKUP($C$33,Data!$B$3:$AB$38,7,FALSE)&amp;"_"&amp;VLOOKUP($C$33,Data!$B$3:$AB$38,24,FALSE)&amp;"_"&amp;VLOOKUP($C$33,Data!$B$3:$AB$38,10,FALSE)&amp;"_5",Airflow!$B$6:$N$25,4,FALSE)="","",VLOOKUP(VLOOKUP($C$33,Data!$B$3:$AB$38,7,FALSE)&amp;"_"&amp;VLOOKUP($C$33,Data!$B$3:$AB$38,24,FALSE)&amp;"_"&amp;VLOOKUP($C$33,Data!$B$3:$AB$38,10,FALSE)&amp;"_5",Airflow!$B$6:$N$25,4,FALSE)),"")</f>
        <v>1378</v>
      </c>
      <c r="G37" s="85">
        <f>IFERROR(IF(VLOOKUP(VLOOKUP($C$33,Data!$B$3:$AB$38,7,FALSE)&amp;"_"&amp;VLOOKUP($C$33,Data!$B$3:$AB$38,24,FALSE)&amp;"_"&amp;VLOOKUP($C$33,Data!$B$3:$AB$38,10,FALSE)&amp;"_5",Airflow!$B$6:$N$25,5,FALSE)="","",VLOOKUP(VLOOKUP($C$33,Data!$B$3:$AB$38,7,FALSE)&amp;"_"&amp;VLOOKUP($C$33,Data!$B$3:$AB$38,24,FALSE)&amp;"_"&amp;VLOOKUP($C$33,Data!$B$3:$AB$38,10,FALSE)&amp;"_5",Airflow!$B$6:$N$25,5,FALSE)),"")</f>
        <v>1343</v>
      </c>
      <c r="H37" s="85">
        <f>IFERROR(IF(VLOOKUP(VLOOKUP($C$33,Data!$B$3:$AB$38,7,FALSE)&amp;"_"&amp;VLOOKUP($C$33,Data!$B$3:$AB$38,24,FALSE)&amp;"_"&amp;VLOOKUP($C$33,Data!$B$3:$AB$38,10,FALSE)&amp;"_5",Airflow!$B$6:$N$25,6,FALSE)="","",VLOOKUP(VLOOKUP($C$33,Data!$B$3:$AB$38,7,FALSE)&amp;"_"&amp;VLOOKUP($C$33,Data!$B$3:$AB$38,24,FALSE)&amp;"_"&amp;VLOOKUP($C$33,Data!$B$3:$AB$38,10,FALSE)&amp;"_5",Airflow!$B$6:$N$25,6,FALSE)),"")</f>
        <v>1314</v>
      </c>
      <c r="I37" s="85">
        <f>IFERROR(IF(VLOOKUP(VLOOKUP($C$33,Data!$B$3:$AB$38,7,FALSE)&amp;"_"&amp;VLOOKUP($C$33,Data!$B$3:$AB$38,24,FALSE)&amp;"_"&amp;VLOOKUP($C$33,Data!$B$3:$AB$38,10,FALSE)&amp;"_5",Airflow!$B$6:$N$25,7,FALSE)="","",VLOOKUP(VLOOKUP($C$33,Data!$B$3:$AB$38,7,FALSE)&amp;"_"&amp;VLOOKUP($C$33,Data!$B$3:$AB$38,24,FALSE)&amp;"_"&amp;VLOOKUP($C$33,Data!$B$3:$AB$38,10,FALSE)&amp;"_5",Airflow!$B$6:$N$25,7,FALSE)),"")</f>
        <v>1288</v>
      </c>
      <c r="J37" s="85">
        <f>IFERROR(IF(VLOOKUP(VLOOKUP($C$33,Data!$B$3:$AB$38,7,FALSE)&amp;"_"&amp;VLOOKUP($C$33,Data!$B$3:$AB$38,24,FALSE)&amp;"_"&amp;VLOOKUP($C$33,Data!$B$3:$AB$38,10,FALSE)&amp;"_5",Airflow!$B$6:$N$25,8,FALSE)="","",VLOOKUP(VLOOKUP($C$33,Data!$B$3:$AB$38,7,FALSE)&amp;"_"&amp;VLOOKUP($C$33,Data!$B$3:$AB$38,24,FALSE)&amp;"_"&amp;VLOOKUP($C$33,Data!$B$3:$AB$38,10,FALSE)&amp;"_5",Airflow!$B$6:$N$25,8,FALSE)),"")</f>
        <v>1263</v>
      </c>
      <c r="K37" s="85">
        <f>IFERROR(IF(VLOOKUP(VLOOKUP($C$33,Data!$B$3:$AB$38,7,FALSE)&amp;"_"&amp;VLOOKUP($C$33,Data!$B$3:$AB$38,24,FALSE)&amp;"_"&amp;VLOOKUP($C$33,Data!$B$3:$AB$38,10,FALSE)&amp;"_5",Airflow!$B$6:$N$25,9,FALSE)="","",VLOOKUP(VLOOKUP($C$33,Data!$B$3:$AB$38,7,FALSE)&amp;"_"&amp;VLOOKUP($C$33,Data!$B$3:$AB$38,24,FALSE)&amp;"_"&amp;VLOOKUP($C$33,Data!$B$3:$AB$38,10,FALSE)&amp;"_5",Airflow!$B$6:$N$25,9,FALSE)),"")</f>
        <v>1246</v>
      </c>
      <c r="L37" s="85">
        <f>IFERROR(IF(VLOOKUP(VLOOKUP($C$33,Data!$B$3:$AB$38,7,FALSE)&amp;"_"&amp;VLOOKUP($C$33,Data!$B$3:$AB$38,24,FALSE)&amp;"_"&amp;VLOOKUP($C$33,Data!$B$3:$AB$38,10,FALSE)&amp;"_5",Airflow!$B$6:$N$25,10,FALSE)="","",VLOOKUP(VLOOKUP($C$33,Data!$B$3:$AB$38,7,FALSE)&amp;"_"&amp;VLOOKUP($C$33,Data!$B$3:$AB$38,24,FALSE)&amp;"_"&amp;VLOOKUP($C$33,Data!$B$3:$AB$38,10,FALSE)&amp;"_5",Airflow!$B$6:$N$25,10,FALSE)),"")</f>
        <v>1218</v>
      </c>
      <c r="M37" s="85">
        <f>IFERROR(IF(VLOOKUP(VLOOKUP($C$33,Data!$B$3:$AB$38,7,FALSE)&amp;"_"&amp;VLOOKUP($C$33,Data!$B$3:$AB$38,24,FALSE)&amp;"_"&amp;VLOOKUP($C$33,Data!$B$3:$AB$38,10,FALSE)&amp;"_5",Airflow!$B$6:$N$25,11,FALSE)="","",VLOOKUP(VLOOKUP($C$33,Data!$B$3:$AB$38,7,FALSE)&amp;"_"&amp;VLOOKUP($C$33,Data!$B$3:$AB$38,24,FALSE)&amp;"_"&amp;VLOOKUP($C$33,Data!$B$3:$AB$38,10,FALSE)&amp;"_5",Airflow!$B$6:$N$25,11,FALSE)),"")</f>
        <v>1195</v>
      </c>
      <c r="N37" s="85">
        <f>IFERROR(IF(VLOOKUP(VLOOKUP($C$33,Data!$B$3:$AB$38,7,FALSE)&amp;"_"&amp;VLOOKUP($C$33,Data!$B$3:$AB$38,24,FALSE)&amp;"_"&amp;VLOOKUP($C$33,Data!$B$3:$AB$38,10,FALSE)&amp;"_5",Airflow!$B$6:$N$25,12,FALSE)="","",VLOOKUP(VLOOKUP($C$33,Data!$B$3:$AB$38,7,FALSE)&amp;"_"&amp;VLOOKUP($C$33,Data!$B$3:$AB$38,24,FALSE)&amp;"_"&amp;VLOOKUP($C$33,Data!$B$3:$AB$38,10,FALSE)&amp;"_5",Airflow!$B$6:$N$25,12,FALSE)),"")</f>
        <v>1169</v>
      </c>
      <c r="O37" s="85">
        <f>IFERROR(IF(VLOOKUP(VLOOKUP($C$33,Data!$B$3:$AB$38,7,FALSE)&amp;"_"&amp;VLOOKUP($C$33,Data!$B$3:$AB$38,24,FALSE)&amp;"_"&amp;VLOOKUP($C$33,Data!$B$3:$AB$38,10,FALSE)&amp;"_5",Airflow!$B$6:$N$25,13,FALSE)="","",VLOOKUP(VLOOKUP($C$33,Data!$B$3:$AB$38,7,FALSE)&amp;"_"&amp;VLOOKUP($C$33,Data!$B$3:$AB$38,24,FALSE)&amp;"_"&amp;VLOOKUP($C$33,Data!$B$3:$AB$38,10,FALSE)&amp;"_5",Airflow!$B$6:$N$25,13,FALSE)),"")</f>
        <v>1145</v>
      </c>
      <c r="P37" s="135"/>
      <c r="Q37" s="74"/>
      <c r="R37" s="126"/>
      <c r="S37" s="70"/>
      <c r="T37" s="70"/>
      <c r="U37" s="71"/>
      <c r="V37" s="72"/>
      <c r="W37" s="72"/>
      <c r="X37" s="72"/>
      <c r="Y37" s="72"/>
      <c r="Z37" s="71"/>
      <c r="AA37" s="70"/>
    </row>
    <row r="38" spans="1:27" ht="6" customHeight="1">
      <c r="A38" s="67"/>
      <c r="B38" s="91"/>
      <c r="C38" s="67"/>
      <c r="D38" s="67"/>
      <c r="E38" s="67"/>
      <c r="F38" s="67"/>
      <c r="G38" s="67"/>
      <c r="H38" s="67"/>
      <c r="I38" s="67"/>
      <c r="J38" s="67"/>
      <c r="K38" s="67"/>
      <c r="L38" s="67"/>
      <c r="M38" s="67"/>
      <c r="N38" s="67"/>
      <c r="O38" s="67"/>
      <c r="P38" s="135"/>
      <c r="Q38" s="131"/>
      <c r="R38" s="131"/>
      <c r="S38" s="134"/>
      <c r="T38" s="131"/>
      <c r="U38" s="131"/>
      <c r="V38" s="134"/>
      <c r="W38" s="134"/>
      <c r="X38" s="134"/>
      <c r="Y38" s="134"/>
      <c r="Z38" s="134"/>
      <c r="AA38" s="134"/>
    </row>
    <row r="39" spans="1:27" ht="12.75" customHeight="1">
      <c r="A39" s="67"/>
      <c r="B39" s="91"/>
      <c r="C39" s="150" t="str">
        <f>IF(Front!E36= "","","Unit Size")</f>
        <v>Unit Size</v>
      </c>
      <c r="D39" s="150"/>
      <c r="E39" s="84" t="str">
        <f>IF(Front!E36= "","",VLOOKUP(VLOOKUP(Front!E36,Data!$B$3:$X$38,10,FALSE),Airflow!$AW$6:$BF$9,2,FALSE))</f>
        <v>Tap</v>
      </c>
      <c r="F39" s="84">
        <f>IFERROR(IF(VLOOKUP(VLOOKUP(Front!E36,Data!$B$3:$X$38,10,FALSE),Airflow!$AW$6:$BF$9,3,FALSE)= "","",VLOOKUP(VLOOKUP(Front!E36,Data!$B$3:$X$38,10,FALSE),Airflow!$AW$6:$BF$9,3,FALSE)),"")</f>
        <v>0.1</v>
      </c>
      <c r="G39" s="84">
        <f>IFERROR(IF(VLOOKUP(VLOOKUP(Front!E36,Data!$B$3:$X$38,10,FALSE),Airflow!$AW$6:$BF$9,4,FALSE)= "","",VLOOKUP(VLOOKUP(Front!E36,Data!$B$3:$X$38,10,FALSE),Airflow!$AW$6:$BF$9,4,FALSE)),"")</f>
        <v>0.2</v>
      </c>
      <c r="H39" s="84">
        <f>IFERROR(IF(VLOOKUP(VLOOKUP(Front!E36,Data!$B$3:$X$38,10,FALSE),Airflow!$AW$6:$BF$9,5,FALSE)= "","",VLOOKUP(VLOOKUP(Front!E36,Data!$B$3:$X$38,10,FALSE),Airflow!$AW$6:$BF$9,5,FALSE)),"")</f>
        <v>0.3</v>
      </c>
      <c r="I39" s="84">
        <f>IFERROR(IF(VLOOKUP(VLOOKUP(Front!E36,Data!$B$3:$X$38,10,FALSE),Airflow!$AW$6:$BF$9,6,FALSE)= "","",VLOOKUP(VLOOKUP(Front!E36,Data!$B$3:$X$38,10,FALSE),Airflow!$AW$6:$BF$9,6,FALSE)),"")</f>
        <v>0.4</v>
      </c>
      <c r="J39" s="84">
        <f>IFERROR(IF(VLOOKUP(VLOOKUP(Front!E36,Data!$B$3:$X$38,10,FALSE),Airflow!$AW$6:$BF$9,7,FALSE)= "","",VLOOKUP(VLOOKUP(Front!E36,Data!$B$3:$X$38,10,FALSE),Airflow!$AW$6:$BF$9,7,FALSE)),"")</f>
        <v>0.5</v>
      </c>
      <c r="K39" s="84">
        <f>IFERROR(IF(VLOOKUP(VLOOKUP(Front!E36,Data!$B$3:$X$38,10,FALSE),Airflow!$AW$6:$BF$9,8,FALSE)= "","",VLOOKUP(VLOOKUP(Front!E36,Data!$B$3:$X$38,10,FALSE),Airflow!$AW$6:$BF$9,8,FALSE)),"")</f>
        <v>0.6</v>
      </c>
      <c r="L39" s="84">
        <f>IFERROR(IF(VLOOKUP(VLOOKUP(Front!E36,Data!$B$3:$X$38,10,FALSE),Airflow!$AW$6:$BF$9,9,FALSE)= "","",VLOOKUP(VLOOKUP(Front!E36,Data!$B$3:$X$38,10,FALSE),Airflow!$AW$6:$BF$9,9,FALSE)),"")</f>
        <v>0.7</v>
      </c>
      <c r="M39" s="84">
        <f>IFERROR(IF(VLOOKUP(VLOOKUP(Front!E36,Data!$B$3:$X$38,10,FALSE),Airflow!$AW$6:$BF$9,10,FALSE)= "","",VLOOKUP(VLOOKUP(Front!E36,Data!$B$3:$X$38,10,FALSE),Airflow!$AW$6:$BF$9,10,FALSE)),"")</f>
        <v>0.8</v>
      </c>
      <c r="N39" s="84">
        <f>IFERROR(IF(VLOOKUP(VLOOKUP(Front!E36,Data!$B$3:$X$38,10,FALSE),Airflow!$AW$6:$BH$9,10,FALSE)= "","",VLOOKUP(VLOOKUP(Front!E36,Data!$B$3:$X$38,10,FALSE),Airflow!$AW$6:$BH$9,11,FALSE)),"")</f>
        <v>0.9</v>
      </c>
      <c r="O39" s="84" t="str">
        <f>IFERROR(IF(VLOOKUP(VLOOKUP(Front!E36,Data!$B$3:$X$38,10,FALSE),Airflow!$AW$6:$BH$9,10,FALSE)= "","",VLOOKUP(VLOOKUP(Front!E36,Data!$B$3:$X$38,10,FALSE),Airflow!$AW$6:$BH$9,12,FALSE)),"")</f>
        <v>1.0</v>
      </c>
      <c r="P39" s="135"/>
      <c r="Q39" s="131"/>
      <c r="R39" s="131"/>
      <c r="S39" s="134"/>
      <c r="T39" s="97"/>
      <c r="U39" s="97"/>
      <c r="V39" s="134"/>
      <c r="W39" s="134"/>
      <c r="X39" s="134"/>
      <c r="Y39" s="134"/>
      <c r="Z39" s="134"/>
      <c r="AA39" s="134"/>
    </row>
    <row r="40" spans="1:27" ht="12.75" customHeight="1">
      <c r="A40" s="67"/>
      <c r="B40" s="91"/>
      <c r="C40" s="150" t="str">
        <f>IF(Front!E36= "","",Front!E36)</f>
        <v>AEFE4B00S1HG2</v>
      </c>
      <c r="D40" s="150"/>
      <c r="E40" s="85">
        <f>IFERROR(IF(VLOOKUP(VLOOKUP($C$40,Data!$B$3:$AB$38,7,FALSE)&amp;"_"&amp;VLOOKUP($C$40,Data!$B$3:$AB$38,24,FALSE)&amp;"_"&amp;VLOOKUP($C$40,Data!$B$3:$AB$38,10,FALSE)&amp;"_1",Airflow!$B$6:$N$25,3,FALSE)="","",VLOOKUP(VLOOKUP($C$40,Data!$B$3:$AB$38,7,FALSE)&amp;"_"&amp;VLOOKUP($C$40,Data!$B$3:$AB$38,24,FALSE)&amp;"_"&amp;VLOOKUP($C$40,Data!$B$3:$AB$38,10,FALSE)&amp;"_1",Airflow!$B$6:$N$25,3,FALSE)),"")</f>
        <v>1</v>
      </c>
      <c r="F40" s="85">
        <f>IFERROR(IF(VLOOKUP(VLOOKUP($C$40,Data!$B$3:$AB$38,7,FALSE)&amp;"_"&amp;VLOOKUP($C$40,Data!$B$3:$AB$38,24,FALSE)&amp;"_"&amp;VLOOKUP($C$40,Data!$B$3:$AB$38,10,FALSE)&amp;"_1",Airflow!$B$6:$N$25,4,FALSE)="","",VLOOKUP(VLOOKUP($C$40,Data!$B$3:$AB$38,7,FALSE)&amp;"_"&amp;VLOOKUP($C$40,Data!$B$3:$AB$38,24,FALSE)&amp;"_"&amp;VLOOKUP($C$40,Data!$B$3:$AB$38,10,FALSE)&amp;"_1",Airflow!$B$6:$N$25,4,FALSE)),"")</f>
        <v>1097</v>
      </c>
      <c r="G40" s="85">
        <f>IFERROR(IF(VLOOKUP(VLOOKUP($C$40,Data!$B$3:$AB$38,7,FALSE)&amp;"_"&amp;VLOOKUP($C$40,Data!$B$3:$AB$38,24,FALSE)&amp;"_"&amp;VLOOKUP($C$40,Data!$B$3:$AB$38,10,FALSE)&amp;"_1",Airflow!$B$6:$N$25,5,FALSE)="","",VLOOKUP(VLOOKUP($C$40,Data!$B$3:$AB$38,7,FALSE)&amp;"_"&amp;VLOOKUP($C$40,Data!$B$3:$AB$38,24,FALSE)&amp;"_"&amp;VLOOKUP($C$40,Data!$B$3:$AB$38,10,FALSE)&amp;"_1",Airflow!$B$6:$N$25,5,FALSE)),"")</f>
        <v>1048</v>
      </c>
      <c r="H40" s="85">
        <f>IFERROR(IF(VLOOKUP(VLOOKUP($C$40,Data!$B$3:$AB$38,7,FALSE)&amp;"_"&amp;VLOOKUP($C$40,Data!$B$3:$AB$38,24,FALSE)&amp;"_"&amp;VLOOKUP($C$40,Data!$B$3:$AB$38,10,FALSE)&amp;"_1",Airflow!$B$6:$N$25,6,FALSE)="","",VLOOKUP(VLOOKUP($C$40,Data!$B$3:$AB$38,7,FALSE)&amp;"_"&amp;VLOOKUP($C$40,Data!$B$3:$AB$38,24,FALSE)&amp;"_"&amp;VLOOKUP($C$40,Data!$B$3:$AB$38,10,FALSE)&amp;"_1",Airflow!$B$6:$N$25,6,FALSE)),"")</f>
        <v>996</v>
      </c>
      <c r="I40" s="85">
        <f>IFERROR(IF(VLOOKUP(VLOOKUP($C$40,Data!$B$3:$AB$38,7,FALSE)&amp;"_"&amp;VLOOKUP($C$40,Data!$B$3:$AB$38,24,FALSE)&amp;"_"&amp;VLOOKUP($C$40,Data!$B$3:$AB$38,10,FALSE)&amp;"_1",Airflow!$B$6:$N$25,7,FALSE)="","",VLOOKUP(VLOOKUP($C$40,Data!$B$3:$AB$38,7,FALSE)&amp;"_"&amp;VLOOKUP($C$40,Data!$B$3:$AB$38,24,FALSE)&amp;"_"&amp;VLOOKUP($C$40,Data!$B$3:$AB$38,10,FALSE)&amp;"_1",Airflow!$B$6:$N$25,7,FALSE)),"")</f>
        <v>953</v>
      </c>
      <c r="J40" s="85">
        <f>IFERROR(IF(VLOOKUP(VLOOKUP($C$40,Data!$B$3:$AB$38,7,FALSE)&amp;"_"&amp;VLOOKUP($C$40,Data!$B$3:$AB$38,24,FALSE)&amp;"_"&amp;VLOOKUP($C$40,Data!$B$3:$AB$38,10,FALSE)&amp;"_1",Airflow!$B$6:$N$25,8,FALSE)="","",VLOOKUP(VLOOKUP($C$40,Data!$B$3:$AB$38,7,FALSE)&amp;"_"&amp;VLOOKUP($C$40,Data!$B$3:$AB$38,24,FALSE)&amp;"_"&amp;VLOOKUP($C$40,Data!$B$3:$AB$38,10,FALSE)&amp;"_1",Airflow!$B$6:$N$25,8,FALSE)),"")</f>
        <v>909</v>
      </c>
      <c r="K40" s="85">
        <f>IFERROR(IF(VLOOKUP(VLOOKUP($C$40,Data!$B$3:$AB$38,7,FALSE)&amp;"_"&amp;VLOOKUP($C$40,Data!$B$3:$AB$38,24,FALSE)&amp;"_"&amp;VLOOKUP($C$40,Data!$B$3:$AB$38,10,FALSE)&amp;"_1",Airflow!$B$6:$N$25,9,FALSE)="","",VLOOKUP(VLOOKUP($C$40,Data!$B$3:$AB$38,7,FALSE)&amp;"_"&amp;VLOOKUP($C$40,Data!$B$3:$AB$38,24,FALSE)&amp;"_"&amp;VLOOKUP($C$40,Data!$B$3:$AB$38,10,FALSE)&amp;"_1",Airflow!$B$6:$N$25,9,FALSE)),"")</f>
        <v>861</v>
      </c>
      <c r="L40" s="85">
        <f>IFERROR(IF(VLOOKUP(VLOOKUP($C$40,Data!$B$3:$AB$38,7,FALSE)&amp;"_"&amp;VLOOKUP($C$40,Data!$B$3:$AB$38,24,FALSE)&amp;"_"&amp;VLOOKUP($C$40,Data!$B$3:$AB$38,10,FALSE)&amp;"_1",Airflow!$B$6:$N$25,10,FALSE)="","",VLOOKUP(VLOOKUP($C$40,Data!$B$3:$AB$38,7,FALSE)&amp;"_"&amp;VLOOKUP($C$40,Data!$B$3:$AB$38,24,FALSE)&amp;"_"&amp;VLOOKUP($C$40,Data!$B$3:$AB$38,10,FALSE)&amp;"_1",Airflow!$B$6:$N$25,10,FALSE)),"")</f>
        <v>815</v>
      </c>
      <c r="M40" s="85">
        <f>IFERROR(IF(VLOOKUP(VLOOKUP($C$40,Data!$B$3:$AB$38,7,FALSE)&amp;"_"&amp;VLOOKUP($C$40,Data!$B$3:$AB$38,24,FALSE)&amp;"_"&amp;VLOOKUP($C$40,Data!$B$3:$AB$38,10,FALSE)&amp;"_1",Airflow!$B$6:$N$25,11,FALSE)="","",VLOOKUP(VLOOKUP($C$40,Data!$B$3:$AB$38,7,FALSE)&amp;"_"&amp;VLOOKUP($C$40,Data!$B$3:$AB$38,24,FALSE)&amp;"_"&amp;VLOOKUP($C$40,Data!$B$3:$AB$38,10,FALSE)&amp;"_1",Airflow!$B$6:$N$25,11,FALSE)),"")</f>
        <v>765</v>
      </c>
      <c r="N40" s="85">
        <f>IFERROR(IF(VLOOKUP(VLOOKUP($C$40,Data!$B$3:$AB$38,7,FALSE)&amp;"_"&amp;VLOOKUP($C$40,Data!$B$3:$AB$38,24,FALSE)&amp;"_"&amp;VLOOKUP($C$40,Data!$B$3:$AB$38,10,FALSE)&amp;"_1",Airflow!$B$6:$N$25,12,FALSE)="","",VLOOKUP(VLOOKUP($C$40,Data!$B$3:$AB$38,7,FALSE)&amp;"_"&amp;VLOOKUP($C$40,Data!$B$3:$AB$38,24,FALSE)&amp;"_"&amp;VLOOKUP($C$40,Data!$B$3:$AB$38,10,FALSE)&amp;"_1",Airflow!$B$6:$N$25,12,FALSE)),"")</f>
        <v>716</v>
      </c>
      <c r="O40" s="85">
        <f>IFERROR(IF(VLOOKUP(VLOOKUP($C$40,Data!$B$3:$AB$38,7,FALSE)&amp;"_"&amp;VLOOKUP($C$40,Data!$B$3:$AB$38,24,FALSE)&amp;"_"&amp;VLOOKUP($C$40,Data!$B$3:$AB$38,10,FALSE)&amp;"_1",Airflow!$B$6:$N$25,13,FALSE)="","",VLOOKUP(VLOOKUP($C$40,Data!$B$3:$AB$38,7,FALSE)&amp;"_"&amp;VLOOKUP($C$40,Data!$B$3:$AB$38,24,FALSE)&amp;"_"&amp;VLOOKUP($C$40,Data!$B$3:$AB$38,10,FALSE)&amp;"_1",Airflow!$B$6:$N$25,13,FALSE)),"")</f>
        <v>656</v>
      </c>
      <c r="P40" s="135"/>
      <c r="Q40" s="131"/>
      <c r="R40" s="131"/>
      <c r="S40" s="134"/>
      <c r="T40" s="97"/>
      <c r="U40" s="97"/>
      <c r="V40" s="97"/>
      <c r="W40" s="97"/>
      <c r="X40" s="97"/>
      <c r="Y40" s="97"/>
      <c r="Z40" s="97"/>
      <c r="AA40" s="97"/>
    </row>
    <row r="41" spans="1:27" ht="12.75" customHeight="1">
      <c r="A41" s="30"/>
      <c r="B41" s="92"/>
      <c r="C41" s="83"/>
      <c r="D41" s="83"/>
      <c r="E41" s="85">
        <f>IFERROR(IF(VLOOKUP(VLOOKUP($C$40,Data!$B$3:$AB$38,7,FALSE)&amp;"_"&amp;VLOOKUP($C$40,Data!$B$3:$AB$38,24,FALSE)&amp;"_"&amp;VLOOKUP($C$40,Data!$B$3:$AB$38,10,FALSE)&amp;"_3",Airflow!$B$6:$N$25,3,FALSE)="","",VLOOKUP(VLOOKUP($C$40,Data!$B$3:$AB$38,7,FALSE)&amp;"_"&amp;VLOOKUP($C$40,Data!$B$3:$AB$38,24,FALSE)&amp;"_"&amp;VLOOKUP($C$40,Data!$B$3:$AB$38,10,FALSE)&amp;"_2",Airflow!$B$6:$N$25,3,FALSE)),"")</f>
        <v>2</v>
      </c>
      <c r="F41" s="85">
        <f>IFERROR(IF(VLOOKUP(VLOOKUP($C$40,Data!$B$3:$AB$38,7,FALSE)&amp;"_"&amp;VLOOKUP($C$40,Data!$B$3:$AB$38,24,FALSE)&amp;"_"&amp;VLOOKUP($C$40,Data!$B$3:$AB$38,10,FALSE)&amp;"_3",Airflow!$B$6:$N$25,4,FALSE)="","",VLOOKUP(VLOOKUP($C$40,Data!$B$3:$AB$38,7,FALSE)&amp;"_"&amp;VLOOKUP($C$40,Data!$B$3:$AB$38,24,FALSE)&amp;"_"&amp;VLOOKUP($C$40,Data!$B$3:$AB$38,10,FALSE)&amp;"_2",Airflow!$B$6:$N$25,4,FALSE)),"")</f>
        <v>1307</v>
      </c>
      <c r="G41" s="85">
        <f>IFERROR(IF(VLOOKUP(VLOOKUP($C$40,Data!$B$3:$AB$38,7,FALSE)&amp;"_"&amp;VLOOKUP($C$40,Data!$B$3:$AB$38,24,FALSE)&amp;"_"&amp;VLOOKUP($C$40,Data!$B$3:$AB$38,10,FALSE)&amp;"_3",Airflow!$B$6:$N$25,5,FALSE)="","",VLOOKUP(VLOOKUP($C$40,Data!$B$3:$AB$38,7,FALSE)&amp;"_"&amp;VLOOKUP($C$40,Data!$B$3:$AB$38,24,FALSE)&amp;"_"&amp;VLOOKUP($C$40,Data!$B$3:$AB$38,10,FALSE)&amp;"_2",Airflow!$B$6:$N$25,5,FALSE)),"")</f>
        <v>1259</v>
      </c>
      <c r="H41" s="85">
        <f>IFERROR(IF(VLOOKUP(VLOOKUP($C$40,Data!$B$3:$AB$38,7,FALSE)&amp;"_"&amp;VLOOKUP($C$40,Data!$B$3:$AB$38,24,FALSE)&amp;"_"&amp;VLOOKUP($C$40,Data!$B$3:$AB$38,10,FALSE)&amp;"_3",Airflow!$B$6:$N$25,6,FALSE)="","",VLOOKUP(VLOOKUP($C$40,Data!$B$3:$AB$38,7,FALSE)&amp;"_"&amp;VLOOKUP($C$40,Data!$B$3:$AB$38,24,FALSE)&amp;"_"&amp;VLOOKUP($C$40,Data!$B$3:$AB$38,10,FALSE)&amp;"_2",Airflow!$B$6:$N$25,6,FALSE)),"")</f>
        <v>1214</v>
      </c>
      <c r="I41" s="85">
        <f>IFERROR(IF(VLOOKUP(VLOOKUP($C$40,Data!$B$3:$AB$38,7,FALSE)&amp;"_"&amp;VLOOKUP($C$40,Data!$B$3:$AB$38,24,FALSE)&amp;"_"&amp;VLOOKUP($C$40,Data!$B$3:$AB$38,10,FALSE)&amp;"_3",Airflow!$B$6:$N$25,7,FALSE)="","",VLOOKUP(VLOOKUP($C$40,Data!$B$3:$AB$38,7,FALSE)&amp;"_"&amp;VLOOKUP($C$40,Data!$B$3:$AB$38,24,FALSE)&amp;"_"&amp;VLOOKUP($C$40,Data!$B$3:$AB$38,10,FALSE)&amp;"_2",Airflow!$B$6:$N$25,7,FALSE)),"")</f>
        <v>1181</v>
      </c>
      <c r="J41" s="85">
        <f>IFERROR(IF(VLOOKUP(VLOOKUP($C$40,Data!$B$3:$AB$38,7,FALSE)&amp;"_"&amp;VLOOKUP($C$40,Data!$B$3:$AB$38,24,FALSE)&amp;"_"&amp;VLOOKUP($C$40,Data!$B$3:$AB$38,10,FALSE)&amp;"_3",Airflow!$B$6:$N$25,8,FALSE)="","",VLOOKUP(VLOOKUP($C$40,Data!$B$3:$AB$38,7,FALSE)&amp;"_"&amp;VLOOKUP($C$40,Data!$B$3:$AB$38,24,FALSE)&amp;"_"&amp;VLOOKUP($C$40,Data!$B$3:$AB$38,10,FALSE)&amp;"_2",Airflow!$B$6:$N$25,8,FALSE)),"")</f>
        <v>1142</v>
      </c>
      <c r="K41" s="85">
        <f>IFERROR(IF(VLOOKUP(VLOOKUP($C$40,Data!$B$3:$AB$38,7,FALSE)&amp;"_"&amp;VLOOKUP($C$40,Data!$B$3:$AB$38,24,FALSE)&amp;"_"&amp;VLOOKUP($C$40,Data!$B$3:$AB$38,10,FALSE)&amp;"_3",Airflow!$B$6:$N$25,9,FALSE)="","",VLOOKUP(VLOOKUP($C$40,Data!$B$3:$AB$38,7,FALSE)&amp;"_"&amp;VLOOKUP($C$40,Data!$B$3:$AB$38,24,FALSE)&amp;"_"&amp;VLOOKUP($C$40,Data!$B$3:$AB$38,10,FALSE)&amp;"_2",Airflow!$B$6:$N$25,9,FALSE)),"")</f>
        <v>1105</v>
      </c>
      <c r="L41" s="85">
        <f>IFERROR(IF(VLOOKUP(VLOOKUP($C$40,Data!$B$3:$AB$38,7,FALSE)&amp;"_"&amp;VLOOKUP($C$40,Data!$B$3:$AB$38,24,FALSE)&amp;"_"&amp;VLOOKUP($C$40,Data!$B$3:$AB$38,10,FALSE)&amp;"_3",Airflow!$B$6:$N$25,10,FALSE)="","",VLOOKUP(VLOOKUP($C$40,Data!$B$3:$AB$38,7,FALSE)&amp;"_"&amp;VLOOKUP($C$40,Data!$B$3:$AB$38,24,FALSE)&amp;"_"&amp;VLOOKUP($C$40,Data!$B$3:$AB$38,10,FALSE)&amp;"_2",Airflow!$B$6:$N$25,10,FALSE)),"")</f>
        <v>1064</v>
      </c>
      <c r="M41" s="85">
        <f>IFERROR(IF(VLOOKUP(VLOOKUP($C$40,Data!$B$3:$AB$38,7,FALSE)&amp;"_"&amp;VLOOKUP($C$40,Data!$B$3:$AB$38,24,FALSE)&amp;"_"&amp;VLOOKUP($C$40,Data!$B$3:$AB$38,10,FALSE)&amp;"_3",Airflow!$B$6:$N$25,11,FALSE)="","",VLOOKUP(VLOOKUP($C$40,Data!$B$3:$AB$38,7,FALSE)&amp;"_"&amp;VLOOKUP($C$40,Data!$B$3:$AB$38,24,FALSE)&amp;"_"&amp;VLOOKUP($C$40,Data!$B$3:$AB$38,10,FALSE)&amp;"_2",Airflow!$B$6:$N$25,11,FALSE)),"")</f>
        <v>1025</v>
      </c>
      <c r="N41" s="85">
        <f>IFERROR(IF(VLOOKUP(VLOOKUP($C$40,Data!$B$3:$AB$38,7,FALSE)&amp;"_"&amp;VLOOKUP($C$40,Data!$B$3:$AB$38,24,FALSE)&amp;"_"&amp;VLOOKUP($C$40,Data!$B$3:$AB$38,10,FALSE)&amp;"_3",Airflow!$B$6:$N$25,12,FALSE)="","",VLOOKUP(VLOOKUP($C$40,Data!$B$3:$AB$38,7,FALSE)&amp;"_"&amp;VLOOKUP($C$40,Data!$B$3:$AB$38,24,FALSE)&amp;"_"&amp;VLOOKUP($C$40,Data!$B$3:$AB$38,10,FALSE)&amp;"_2",Airflow!$B$6:$N$25,12,FALSE)),"")</f>
        <v>989</v>
      </c>
      <c r="O41" s="85">
        <f>IFERROR(IF(VLOOKUP(VLOOKUP($C$40,Data!$B$3:$AB$38,7,FALSE)&amp;"_"&amp;VLOOKUP($C$40,Data!$B$3:$AB$38,24,FALSE)&amp;"_"&amp;VLOOKUP($C$40,Data!$B$3:$AB$38,10,FALSE)&amp;"_3",Airflow!$B$6:$N$25,13,FALSE)="","",VLOOKUP(VLOOKUP($C$40,Data!$B$3:$AB$38,7,FALSE)&amp;"_"&amp;VLOOKUP($C$40,Data!$B$3:$AB$38,24,FALSE)&amp;"_"&amp;VLOOKUP($C$40,Data!$B$3:$AB$38,10,FALSE)&amp;"_2",Airflow!$B$6:$N$25,13,FALSE)),"")</f>
        <v>950</v>
      </c>
      <c r="P41" s="135"/>
      <c r="Q41" s="86"/>
      <c r="R41" s="99"/>
      <c r="S41" s="99"/>
      <c r="T41" s="99"/>
      <c r="U41" s="99"/>
      <c r="V41" s="99"/>
      <c r="W41" s="99"/>
      <c r="X41" s="99"/>
      <c r="Y41" s="99"/>
      <c r="Z41" s="99"/>
      <c r="AA41" s="99"/>
    </row>
    <row r="42" spans="1:27" ht="12.75" customHeight="1">
      <c r="A42" s="69"/>
      <c r="B42" s="93"/>
      <c r="C42" s="83"/>
      <c r="D42" s="83"/>
      <c r="E42" s="85" t="str">
        <f>IFERROR(IF(VLOOKUP(VLOOKUP($C$40,Data!$B$3:$AB$38,7,FALSE)&amp;"_"&amp;VLOOKUP($C$40,Data!$B$3:$AB$38,24,FALSE)&amp;"_"&amp;VLOOKUP($C$40,Data!$B$3:$AB$38,10,FALSE)&amp;"_3",Airflow!$B$6:$N$25,3,FALSE)="","",VLOOKUP(VLOOKUP($C$40,Data!$B$3:$AB$38,7,FALSE)&amp;"_"&amp;VLOOKUP($C$40,Data!$B$3:$AB$38,24,FALSE)&amp;"_"&amp;VLOOKUP($C$40,Data!$B$3:$AB$38,10,FALSE)&amp;"_3",Airflow!$B$6:$N$25,3,FALSE)),"")</f>
        <v>3</v>
      </c>
      <c r="F42" s="85">
        <f>IFERROR(IF(VLOOKUP(VLOOKUP($C$40,Data!$B$3:$AB$38,7,FALSE)&amp;"_"&amp;VLOOKUP($C$40,Data!$B$3:$AB$38,24,FALSE)&amp;"_"&amp;VLOOKUP($C$40,Data!$B$3:$AB$38,10,FALSE)&amp;"_3",Airflow!$B$6:$N$25,4,FALSE)="","",VLOOKUP(VLOOKUP($C$40,Data!$B$3:$AB$38,7,FALSE)&amp;"_"&amp;VLOOKUP($C$40,Data!$B$3:$AB$38,24,FALSE)&amp;"_"&amp;VLOOKUP($C$40,Data!$B$3:$AB$38,10,FALSE)&amp;"_3",Airflow!$B$6:$N$25,4,FALSE)),"")</f>
        <v>1481</v>
      </c>
      <c r="G42" s="85">
        <f>IFERROR(IF(VLOOKUP(VLOOKUP($C$40,Data!$B$3:$AB$38,7,FALSE)&amp;"_"&amp;VLOOKUP($C$40,Data!$B$3:$AB$38,24,FALSE)&amp;"_"&amp;VLOOKUP($C$40,Data!$B$3:$AB$38,10,FALSE)&amp;"_3",Airflow!$B$6:$N$25,5,FALSE)="","",VLOOKUP(VLOOKUP($C$40,Data!$B$3:$AB$38,7,FALSE)&amp;"_"&amp;VLOOKUP($C$40,Data!$B$3:$AB$38,24,FALSE)&amp;"_"&amp;VLOOKUP($C$40,Data!$B$3:$AB$38,10,FALSE)&amp;"_3",Airflow!$B$6:$N$25,5,FALSE)),"")</f>
        <v>1438</v>
      </c>
      <c r="H42" s="85">
        <f>IFERROR(IF(VLOOKUP(VLOOKUP($C$40,Data!$B$3:$AB$38,7,FALSE)&amp;"_"&amp;VLOOKUP($C$40,Data!$B$3:$AB$38,24,FALSE)&amp;"_"&amp;VLOOKUP($C$40,Data!$B$3:$AB$38,10,FALSE)&amp;"_3",Airflow!$B$6:$N$25,6,FALSE)="","",VLOOKUP(VLOOKUP($C$40,Data!$B$3:$AB$38,7,FALSE)&amp;"_"&amp;VLOOKUP($C$40,Data!$B$3:$AB$38,24,FALSE)&amp;"_"&amp;VLOOKUP($C$40,Data!$B$3:$AB$38,10,FALSE)&amp;"_3",Airflow!$B$6:$N$25,6,FALSE)),"")</f>
        <v>1397</v>
      </c>
      <c r="I42" s="85">
        <f>IFERROR(IF(VLOOKUP(VLOOKUP($C$40,Data!$B$3:$AB$38,7,FALSE)&amp;"_"&amp;VLOOKUP($C$40,Data!$B$3:$AB$38,24,FALSE)&amp;"_"&amp;VLOOKUP($C$40,Data!$B$3:$AB$38,10,FALSE)&amp;"_3",Airflow!$B$6:$N$25,7,FALSE)="","",VLOOKUP(VLOOKUP($C$40,Data!$B$3:$AB$38,7,FALSE)&amp;"_"&amp;VLOOKUP($C$40,Data!$B$3:$AB$38,24,FALSE)&amp;"_"&amp;VLOOKUP($C$40,Data!$B$3:$AB$38,10,FALSE)&amp;"_3",Airflow!$B$6:$N$25,7,FALSE)),"")</f>
        <v>1363</v>
      </c>
      <c r="J42" s="85">
        <f>IFERROR(IF(VLOOKUP(VLOOKUP($C$40,Data!$B$3:$AB$38,7,FALSE)&amp;"_"&amp;VLOOKUP($C$40,Data!$B$3:$AB$38,24,FALSE)&amp;"_"&amp;VLOOKUP($C$40,Data!$B$3:$AB$38,10,FALSE)&amp;"_3",Airflow!$B$6:$N$25,8,FALSE)="","",VLOOKUP(VLOOKUP($C$40,Data!$B$3:$AB$38,7,FALSE)&amp;"_"&amp;VLOOKUP($C$40,Data!$B$3:$AB$38,24,FALSE)&amp;"_"&amp;VLOOKUP($C$40,Data!$B$3:$AB$38,10,FALSE)&amp;"_3",Airflow!$B$6:$N$25,8,FALSE)),"")</f>
        <v>1335</v>
      </c>
      <c r="K42" s="85">
        <f>IFERROR(IF(VLOOKUP(VLOOKUP($C$40,Data!$B$3:$AB$38,7,FALSE)&amp;"_"&amp;VLOOKUP($C$40,Data!$B$3:$AB$38,24,FALSE)&amp;"_"&amp;VLOOKUP($C$40,Data!$B$3:$AB$38,10,FALSE)&amp;"_3",Airflow!$B$6:$N$25,9,FALSE)="","",VLOOKUP(VLOOKUP($C$40,Data!$B$3:$AB$38,7,FALSE)&amp;"_"&amp;VLOOKUP($C$40,Data!$B$3:$AB$38,24,FALSE)&amp;"_"&amp;VLOOKUP($C$40,Data!$B$3:$AB$38,10,FALSE)&amp;"_3",Airflow!$B$6:$N$25,9,FALSE)),"")</f>
        <v>1303</v>
      </c>
      <c r="L42" s="85">
        <f>IFERROR(IF(VLOOKUP(VLOOKUP($C$40,Data!$B$3:$AB$38,7,FALSE)&amp;"_"&amp;VLOOKUP($C$40,Data!$B$3:$AB$38,24,FALSE)&amp;"_"&amp;VLOOKUP($C$40,Data!$B$3:$AB$38,10,FALSE)&amp;"_3",Airflow!$B$6:$N$25,10,FALSE)="","",VLOOKUP(VLOOKUP($C$40,Data!$B$3:$AB$38,7,FALSE)&amp;"_"&amp;VLOOKUP($C$40,Data!$B$3:$AB$38,24,FALSE)&amp;"_"&amp;VLOOKUP($C$40,Data!$B$3:$AB$38,10,FALSE)&amp;"_3",Airflow!$B$6:$N$25,10,FALSE)),"")</f>
        <v>1266</v>
      </c>
      <c r="M42" s="85">
        <f>IFERROR(IF(VLOOKUP(VLOOKUP($C$40,Data!$B$3:$AB$38,7,FALSE)&amp;"_"&amp;VLOOKUP($C$40,Data!$B$3:$AB$38,24,FALSE)&amp;"_"&amp;VLOOKUP($C$40,Data!$B$3:$AB$38,10,FALSE)&amp;"_3",Airflow!$B$6:$N$25,11,FALSE)="","",VLOOKUP(VLOOKUP($C$40,Data!$B$3:$AB$38,7,FALSE)&amp;"_"&amp;VLOOKUP($C$40,Data!$B$3:$AB$38,24,FALSE)&amp;"_"&amp;VLOOKUP($C$40,Data!$B$3:$AB$38,10,FALSE)&amp;"_3",Airflow!$B$6:$N$25,11,FALSE)),"")</f>
        <v>1234</v>
      </c>
      <c r="N42" s="85">
        <f>IFERROR(IF(VLOOKUP(VLOOKUP($C$40,Data!$B$3:$AB$38,7,FALSE)&amp;"_"&amp;VLOOKUP($C$40,Data!$B$3:$AB$38,24,FALSE)&amp;"_"&amp;VLOOKUP($C$40,Data!$B$3:$AB$38,10,FALSE)&amp;"_3",Airflow!$B$6:$N$25,12,FALSE)="","",VLOOKUP(VLOOKUP($C$40,Data!$B$3:$AB$38,7,FALSE)&amp;"_"&amp;VLOOKUP($C$40,Data!$B$3:$AB$38,24,FALSE)&amp;"_"&amp;VLOOKUP($C$40,Data!$B$3:$AB$38,10,FALSE)&amp;"_3",Airflow!$B$6:$N$25,12,FALSE)),"")</f>
        <v>1202</v>
      </c>
      <c r="O42" s="85">
        <f>IFERROR(IF(VLOOKUP(VLOOKUP($C$40,Data!$B$3:$AB$38,7,FALSE)&amp;"_"&amp;VLOOKUP($C$40,Data!$B$3:$AB$38,24,FALSE)&amp;"_"&amp;VLOOKUP($C$40,Data!$B$3:$AB$38,10,FALSE)&amp;"_3",Airflow!$B$6:$N$25,13,FALSE)="","",VLOOKUP(VLOOKUP($C$40,Data!$B$3:$AB$38,7,FALSE)&amp;"_"&amp;VLOOKUP($C$40,Data!$B$3:$AB$38,24,FALSE)&amp;"_"&amp;VLOOKUP($C$40,Data!$B$3:$AB$38,10,FALSE)&amp;"_3",Airflow!$B$6:$N$25,13,FALSE)),"")</f>
        <v>1168</v>
      </c>
      <c r="P42" s="135"/>
      <c r="Q42" s="74"/>
      <c r="R42" s="99"/>
      <c r="S42" s="99"/>
      <c r="T42" s="99"/>
      <c r="U42" s="99"/>
      <c r="V42" s="99"/>
      <c r="W42" s="99"/>
      <c r="X42" s="99"/>
      <c r="Y42" s="99"/>
      <c r="Z42" s="99"/>
      <c r="AA42" s="99"/>
    </row>
    <row r="43" spans="1:27" ht="12.75" customHeight="1">
      <c r="A43" s="67"/>
      <c r="B43" s="91"/>
      <c r="C43" s="83"/>
      <c r="D43" s="83"/>
      <c r="E43" s="85" t="str">
        <f>IFERROR(IF(VLOOKUP(VLOOKUP($C$40,Data!$B$3:$AB$38,7,FALSE)&amp;"_"&amp;VLOOKUP($C$40,Data!$B$3:$AB$38,24,FALSE)&amp;"_"&amp;VLOOKUP($C$40,Data!$B$3:$AB$38,10,FALSE)&amp;"_4",Airflow!$B$6:$N$25,3,FALSE)="","",VLOOKUP(VLOOKUP($C$40,Data!$B$3:$AB$38,7,FALSE)&amp;"_"&amp;VLOOKUP($C$40,Data!$B$3:$AB$38,24,FALSE)&amp;"_"&amp;VLOOKUP($C$40,Data!$B$3:$AB$38,10,FALSE)&amp;"_4",Airflow!$B$6:$N$25,3,FALSE)),"")</f>
        <v>4+</v>
      </c>
      <c r="F43" s="85">
        <f>IFERROR(IF(VLOOKUP(VLOOKUP($C$40,Data!$B$3:$AB$38,7,FALSE)&amp;"_"&amp;VLOOKUP($C$40,Data!$B$3:$AB$38,24,FALSE)&amp;"_"&amp;VLOOKUP($C$40,Data!$B$3:$AB$38,10,FALSE)&amp;"_4",Airflow!$B$6:$N$25,4,FALSE)="","",VLOOKUP(VLOOKUP($C$40,Data!$B$3:$AB$38,7,FALSE)&amp;"_"&amp;VLOOKUP($C$40,Data!$B$3:$AB$38,24,FALSE)&amp;"_"&amp;VLOOKUP($C$40,Data!$B$3:$AB$38,10,FALSE)&amp;"_4",Airflow!$B$6:$N$25,4,FALSE)),"")</f>
        <v>1656</v>
      </c>
      <c r="G43" s="85">
        <f>IFERROR(IF(VLOOKUP(VLOOKUP($C$40,Data!$B$3:$AB$38,7,FALSE)&amp;"_"&amp;VLOOKUP($C$40,Data!$B$3:$AB$38,24,FALSE)&amp;"_"&amp;VLOOKUP($C$40,Data!$B$3:$AB$38,10,FALSE)&amp;"_4",Airflow!$B$6:$N$25,5,FALSE)="","",VLOOKUP(VLOOKUP($C$40,Data!$B$3:$AB$38,7,FALSE)&amp;"_"&amp;VLOOKUP($C$40,Data!$B$3:$AB$38,24,FALSE)&amp;"_"&amp;VLOOKUP($C$40,Data!$B$3:$AB$38,10,FALSE)&amp;"_4",Airflow!$B$6:$N$25,5,FALSE)),"")</f>
        <v>1614</v>
      </c>
      <c r="H43" s="85">
        <f>IFERROR(IF(VLOOKUP(VLOOKUP($C$40,Data!$B$3:$AB$38,7,FALSE)&amp;"_"&amp;VLOOKUP($C$40,Data!$B$3:$AB$38,24,FALSE)&amp;"_"&amp;VLOOKUP($C$40,Data!$B$3:$AB$38,10,FALSE)&amp;"_4",Airflow!$B$6:$N$25,6,FALSE)="","",VLOOKUP(VLOOKUP($C$40,Data!$B$3:$AB$38,7,FALSE)&amp;"_"&amp;VLOOKUP($C$40,Data!$B$3:$AB$38,24,FALSE)&amp;"_"&amp;VLOOKUP($C$40,Data!$B$3:$AB$38,10,FALSE)&amp;"_4",Airflow!$B$6:$N$25,6,FALSE)),"")</f>
        <v>1582</v>
      </c>
      <c r="I43" s="85">
        <f>IFERROR(IF(VLOOKUP(VLOOKUP($C$40,Data!$B$3:$AB$38,7,FALSE)&amp;"_"&amp;VLOOKUP($C$40,Data!$B$3:$AB$38,24,FALSE)&amp;"_"&amp;VLOOKUP($C$40,Data!$B$3:$AB$38,10,FALSE)&amp;"_4",Airflow!$B$6:$N$25,7,FALSE)="","",VLOOKUP(VLOOKUP($C$40,Data!$B$3:$AB$38,7,FALSE)&amp;"_"&amp;VLOOKUP($C$40,Data!$B$3:$AB$38,24,FALSE)&amp;"_"&amp;VLOOKUP($C$40,Data!$B$3:$AB$38,10,FALSE)&amp;"_4",Airflow!$B$6:$N$25,7,FALSE)),"")</f>
        <v>1555</v>
      </c>
      <c r="J43" s="85">
        <f>IFERROR(IF(VLOOKUP(VLOOKUP($C$40,Data!$B$3:$AB$38,7,FALSE)&amp;"_"&amp;VLOOKUP($C$40,Data!$B$3:$AB$38,24,FALSE)&amp;"_"&amp;VLOOKUP($C$40,Data!$B$3:$AB$38,10,FALSE)&amp;"_4",Airflow!$B$6:$N$25,8,FALSE)="","",VLOOKUP(VLOOKUP($C$40,Data!$B$3:$AB$38,7,FALSE)&amp;"_"&amp;VLOOKUP($C$40,Data!$B$3:$AB$38,24,FALSE)&amp;"_"&amp;VLOOKUP($C$40,Data!$B$3:$AB$38,10,FALSE)&amp;"_4",Airflow!$B$6:$N$25,8,FALSE)),"")</f>
        <v>1523</v>
      </c>
      <c r="K43" s="85">
        <f>IFERROR(IF(VLOOKUP(VLOOKUP($C$40,Data!$B$3:$AB$38,7,FALSE)&amp;"_"&amp;VLOOKUP($C$40,Data!$B$3:$AB$38,24,FALSE)&amp;"_"&amp;VLOOKUP($C$40,Data!$B$3:$AB$38,10,FALSE)&amp;"_4",Airflow!$B$6:$N$25,9,FALSE)="","",VLOOKUP(VLOOKUP($C$40,Data!$B$3:$AB$38,7,FALSE)&amp;"_"&amp;VLOOKUP($C$40,Data!$B$3:$AB$38,24,FALSE)&amp;"_"&amp;VLOOKUP($C$40,Data!$B$3:$AB$38,10,FALSE)&amp;"_4",Airflow!$B$6:$N$25,9,FALSE)),"")</f>
        <v>1490</v>
      </c>
      <c r="L43" s="85">
        <f>IFERROR(IF(VLOOKUP(VLOOKUP($C$40,Data!$B$3:$AB$38,7,FALSE)&amp;"_"&amp;VLOOKUP($C$40,Data!$B$3:$AB$38,24,FALSE)&amp;"_"&amp;VLOOKUP($C$40,Data!$B$3:$AB$38,10,FALSE)&amp;"_4",Airflow!$B$6:$N$25,10,FALSE)="","",VLOOKUP(VLOOKUP($C$40,Data!$B$3:$AB$38,7,FALSE)&amp;"_"&amp;VLOOKUP($C$40,Data!$B$3:$AB$38,24,FALSE)&amp;"_"&amp;VLOOKUP($C$40,Data!$B$3:$AB$38,10,FALSE)&amp;"_4",Airflow!$B$6:$N$25,10,FALSE)),"")</f>
        <v>1460</v>
      </c>
      <c r="M43" s="85">
        <f>IFERROR(IF(VLOOKUP(VLOOKUP($C$40,Data!$B$3:$AB$38,7,FALSE)&amp;"_"&amp;VLOOKUP($C$40,Data!$B$3:$AB$38,24,FALSE)&amp;"_"&amp;VLOOKUP($C$40,Data!$B$3:$AB$38,10,FALSE)&amp;"_4",Airflow!$B$6:$N$25,11,FALSE)="","",VLOOKUP(VLOOKUP($C$40,Data!$B$3:$AB$38,7,FALSE)&amp;"_"&amp;VLOOKUP($C$40,Data!$B$3:$AB$38,24,FALSE)&amp;"_"&amp;VLOOKUP($C$40,Data!$B$3:$AB$38,10,FALSE)&amp;"_4",Airflow!$B$6:$N$25,11,FALSE)),"")</f>
        <v>1429</v>
      </c>
      <c r="N43" s="85">
        <f>IFERROR(IF(VLOOKUP(VLOOKUP($C$40,Data!$B$3:$AB$38,7,FALSE)&amp;"_"&amp;VLOOKUP($C$40,Data!$B$3:$AB$38,24,FALSE)&amp;"_"&amp;VLOOKUP($C$40,Data!$B$3:$AB$38,10,FALSE)&amp;"_4",Airflow!$B$6:$N$25,12,FALSE)="","",VLOOKUP(VLOOKUP($C$40,Data!$B$3:$AB$38,7,FALSE)&amp;"_"&amp;VLOOKUP($C$40,Data!$B$3:$AB$38,24,FALSE)&amp;"_"&amp;VLOOKUP($C$40,Data!$B$3:$AB$38,10,FALSE)&amp;"_4",Airflow!$B$6:$N$25,12,FALSE)),"")</f>
        <v>1399</v>
      </c>
      <c r="O43" s="85">
        <f>IFERROR(IF(VLOOKUP(VLOOKUP($C$40,Data!$B$3:$AB$38,7,FALSE)&amp;"_"&amp;VLOOKUP($C$40,Data!$B$3:$AB$38,24,FALSE)&amp;"_"&amp;VLOOKUP($C$40,Data!$B$3:$AB$38,10,FALSE)&amp;"_4",Airflow!$B$6:$N$25,13,FALSE)="","",VLOOKUP(VLOOKUP($C$40,Data!$B$3:$AB$38,7,FALSE)&amp;"_"&amp;VLOOKUP($C$40,Data!$B$3:$AB$38,24,FALSE)&amp;"_"&amp;VLOOKUP($C$40,Data!$B$3:$AB$38,10,FALSE)&amp;"_4",Airflow!$B$6:$N$25,13,FALSE)),"")</f>
        <v>1371</v>
      </c>
      <c r="P43" s="135"/>
      <c r="Q43" s="127"/>
      <c r="R43" s="70"/>
      <c r="S43" s="128"/>
      <c r="T43" s="70"/>
      <c r="U43" s="71"/>
      <c r="V43" s="72"/>
      <c r="W43" s="72"/>
      <c r="X43" s="72"/>
      <c r="Y43" s="72"/>
      <c r="Z43" s="71"/>
      <c r="AA43" s="70"/>
    </row>
    <row r="44" spans="1:27" ht="12.75" customHeight="1">
      <c r="A44" s="67"/>
      <c r="B44" s="91"/>
      <c r="C44" s="83"/>
      <c r="D44" s="83"/>
      <c r="E44" s="85" t="str">
        <f>IFERROR(IF(VLOOKUP(VLOOKUP($C$40,Data!$B$3:$AB$38,7,FALSE)&amp;"_"&amp;VLOOKUP($C$40,Data!$B$3:$AB$38,24,FALSE)&amp;"_"&amp;VLOOKUP($C$40,Data!$B$3:$AB$38,10,FALSE)&amp;"_5",Airflow!$B$6:$N$25,3,FALSE)="","",VLOOKUP(VLOOKUP($C$40,Data!$B$3:$AB$38,7,FALSE)&amp;"_"&amp;VLOOKUP($C$40,Data!$B$3:$AB$38,24,FALSE)&amp;"_"&amp;VLOOKUP($C$40,Data!$B$3:$AB$38,10,FALSE)&amp;"_5",Airflow!$B$6:$N$25,3,FALSE)),"")</f>
        <v>5*</v>
      </c>
      <c r="F44" s="85">
        <f>IFERROR(IF(VLOOKUP(VLOOKUP($C$40,Data!$B$3:$AB$38,7,FALSE)&amp;"_"&amp;VLOOKUP($C$40,Data!$B$3:$AB$38,24,FALSE)&amp;"_"&amp;VLOOKUP($C$40,Data!$B$3:$AB$38,10,FALSE)&amp;"_5",Airflow!$B$6:$N$25,4,FALSE)="","",VLOOKUP(VLOOKUP($C$40,Data!$B$3:$AB$38,7,FALSE)&amp;"_"&amp;VLOOKUP($C$40,Data!$B$3:$AB$38,24,FALSE)&amp;"_"&amp;VLOOKUP($C$40,Data!$B$3:$AB$38,10,FALSE)&amp;"_5",Airflow!$B$6:$N$25,4,FALSE)),"")</f>
        <v>1767</v>
      </c>
      <c r="G44" s="85">
        <f>IFERROR(IF(VLOOKUP(VLOOKUP($C$40,Data!$B$3:$AB$38,7,FALSE)&amp;"_"&amp;VLOOKUP($C$40,Data!$B$3:$AB$38,24,FALSE)&amp;"_"&amp;VLOOKUP($C$40,Data!$B$3:$AB$38,10,FALSE)&amp;"_5",Airflow!$B$6:$N$25,5,FALSE)="","",VLOOKUP(VLOOKUP($C$40,Data!$B$3:$AB$38,7,FALSE)&amp;"_"&amp;VLOOKUP($C$40,Data!$B$3:$AB$38,24,FALSE)&amp;"_"&amp;VLOOKUP($C$40,Data!$B$3:$AB$38,10,FALSE)&amp;"_5",Airflow!$B$6:$N$25,5,FALSE)),"")</f>
        <v>1727</v>
      </c>
      <c r="H44" s="85">
        <f>IFERROR(IF(VLOOKUP(VLOOKUP($C$40,Data!$B$3:$AB$38,7,FALSE)&amp;"_"&amp;VLOOKUP($C$40,Data!$B$3:$AB$38,24,FALSE)&amp;"_"&amp;VLOOKUP($C$40,Data!$B$3:$AB$38,10,FALSE)&amp;"_5",Airflow!$B$6:$N$25,6,FALSE)="","",VLOOKUP(VLOOKUP($C$40,Data!$B$3:$AB$38,7,FALSE)&amp;"_"&amp;VLOOKUP($C$40,Data!$B$3:$AB$38,24,FALSE)&amp;"_"&amp;VLOOKUP($C$40,Data!$B$3:$AB$38,10,FALSE)&amp;"_5",Airflow!$B$6:$N$25,6,FALSE)),"")</f>
        <v>1692</v>
      </c>
      <c r="I44" s="85">
        <f>IFERROR(IF(VLOOKUP(VLOOKUP($C$40,Data!$B$3:$AB$38,7,FALSE)&amp;"_"&amp;VLOOKUP($C$40,Data!$B$3:$AB$38,24,FALSE)&amp;"_"&amp;VLOOKUP($C$40,Data!$B$3:$AB$38,10,FALSE)&amp;"_5",Airflow!$B$6:$N$25,7,FALSE)="","",VLOOKUP(VLOOKUP($C$40,Data!$B$3:$AB$38,7,FALSE)&amp;"_"&amp;VLOOKUP($C$40,Data!$B$3:$AB$38,24,FALSE)&amp;"_"&amp;VLOOKUP($C$40,Data!$B$3:$AB$38,10,FALSE)&amp;"_5",Airflow!$B$6:$N$25,7,FALSE)),"")</f>
        <v>1655</v>
      </c>
      <c r="J44" s="85">
        <f>IFERROR(IF(VLOOKUP(VLOOKUP($C$40,Data!$B$3:$AB$38,7,FALSE)&amp;"_"&amp;VLOOKUP($C$40,Data!$B$3:$AB$38,24,FALSE)&amp;"_"&amp;VLOOKUP($C$40,Data!$B$3:$AB$38,10,FALSE)&amp;"_5",Airflow!$B$6:$N$25,8,FALSE)="","",VLOOKUP(VLOOKUP($C$40,Data!$B$3:$AB$38,7,FALSE)&amp;"_"&amp;VLOOKUP($C$40,Data!$B$3:$AB$38,24,FALSE)&amp;"_"&amp;VLOOKUP($C$40,Data!$B$3:$AB$38,10,FALSE)&amp;"_5",Airflow!$B$6:$N$25,8,FALSE)),"")</f>
        <v>1623</v>
      </c>
      <c r="K44" s="85">
        <f>IFERROR(IF(VLOOKUP(VLOOKUP($C$40,Data!$B$3:$AB$38,7,FALSE)&amp;"_"&amp;VLOOKUP($C$40,Data!$B$3:$AB$38,24,FALSE)&amp;"_"&amp;VLOOKUP($C$40,Data!$B$3:$AB$38,10,FALSE)&amp;"_5",Airflow!$B$6:$N$25,9,FALSE)="","",VLOOKUP(VLOOKUP($C$40,Data!$B$3:$AB$38,7,FALSE)&amp;"_"&amp;VLOOKUP($C$40,Data!$B$3:$AB$38,24,FALSE)&amp;"_"&amp;VLOOKUP($C$40,Data!$B$3:$AB$38,10,FALSE)&amp;"_5",Airflow!$B$6:$N$25,9,FALSE)),"")</f>
        <v>1592</v>
      </c>
      <c r="L44" s="85">
        <f>IFERROR(IF(VLOOKUP(VLOOKUP($C$40,Data!$B$3:$AB$38,7,FALSE)&amp;"_"&amp;VLOOKUP($C$40,Data!$B$3:$AB$38,24,FALSE)&amp;"_"&amp;VLOOKUP($C$40,Data!$B$3:$AB$38,10,FALSE)&amp;"_5",Airflow!$B$6:$N$25,10,FALSE)="","",VLOOKUP(VLOOKUP($C$40,Data!$B$3:$AB$38,7,FALSE)&amp;"_"&amp;VLOOKUP($C$40,Data!$B$3:$AB$38,24,FALSE)&amp;"_"&amp;VLOOKUP($C$40,Data!$B$3:$AB$38,10,FALSE)&amp;"_5",Airflow!$B$6:$N$25,10,FALSE)),"")</f>
        <v>1564</v>
      </c>
      <c r="M44" s="85">
        <f>IFERROR(IF(VLOOKUP(VLOOKUP($C$40,Data!$B$3:$AB$38,7,FALSE)&amp;"_"&amp;VLOOKUP($C$40,Data!$B$3:$AB$38,24,FALSE)&amp;"_"&amp;VLOOKUP($C$40,Data!$B$3:$AB$38,10,FALSE)&amp;"_5",Airflow!$B$6:$N$25,11,FALSE)="","",VLOOKUP(VLOOKUP($C$40,Data!$B$3:$AB$38,7,FALSE)&amp;"_"&amp;VLOOKUP($C$40,Data!$B$3:$AB$38,24,FALSE)&amp;"_"&amp;VLOOKUP($C$40,Data!$B$3:$AB$38,10,FALSE)&amp;"_5",Airflow!$B$6:$N$25,11,FALSE)),"")</f>
        <v>1533</v>
      </c>
      <c r="N44" s="85">
        <f>IFERROR(IF(VLOOKUP(VLOOKUP($C$40,Data!$B$3:$AB$38,7,FALSE)&amp;"_"&amp;VLOOKUP($C$40,Data!$B$3:$AB$38,24,FALSE)&amp;"_"&amp;VLOOKUP($C$40,Data!$B$3:$AB$38,10,FALSE)&amp;"_5",Airflow!$B$6:$N$25,12,FALSE)="","",VLOOKUP(VLOOKUP($C$40,Data!$B$3:$AB$38,7,FALSE)&amp;"_"&amp;VLOOKUP($C$40,Data!$B$3:$AB$38,24,FALSE)&amp;"_"&amp;VLOOKUP($C$40,Data!$B$3:$AB$38,10,FALSE)&amp;"_5",Airflow!$B$6:$N$25,12,FALSE)),"")</f>
        <v>1502</v>
      </c>
      <c r="O44" s="85">
        <f>IFERROR(IF(VLOOKUP(VLOOKUP($C$40,Data!$B$3:$AB$38,7,FALSE)&amp;"_"&amp;VLOOKUP($C$40,Data!$B$3:$AB$38,24,FALSE)&amp;"_"&amp;VLOOKUP($C$40,Data!$B$3:$AB$38,10,FALSE)&amp;"_5",Airflow!$B$6:$N$25,13,FALSE)="","",VLOOKUP(VLOOKUP($C$40,Data!$B$3:$AB$38,7,FALSE)&amp;"_"&amp;VLOOKUP($C$40,Data!$B$3:$AB$38,24,FALSE)&amp;"_"&amp;VLOOKUP($C$40,Data!$B$3:$AB$38,10,FALSE)&amp;"_5",Airflow!$B$6:$N$25,13,FALSE)),"")</f>
        <v>1471</v>
      </c>
      <c r="P44" s="135"/>
      <c r="Q44" s="131"/>
      <c r="R44" s="131"/>
      <c r="S44" s="134"/>
      <c r="T44" s="131"/>
      <c r="U44" s="131"/>
      <c r="V44" s="134"/>
      <c r="W44" s="134"/>
      <c r="X44" s="134"/>
      <c r="Y44" s="134"/>
      <c r="Z44" s="134"/>
      <c r="AA44" s="134"/>
    </row>
    <row r="45" spans="1:27" ht="6" customHeight="1">
      <c r="A45" s="67"/>
      <c r="B45" s="91"/>
      <c r="C45" s="67"/>
      <c r="D45" s="67"/>
      <c r="E45" s="67"/>
      <c r="F45" s="67"/>
      <c r="G45" s="67"/>
      <c r="H45" s="67"/>
      <c r="I45" s="67"/>
      <c r="J45" s="67"/>
      <c r="K45" s="67"/>
      <c r="L45" s="67"/>
      <c r="M45" s="67"/>
      <c r="N45" s="67"/>
      <c r="O45" s="67"/>
      <c r="P45" s="135"/>
      <c r="Q45" s="131"/>
      <c r="R45" s="131"/>
      <c r="S45" s="134"/>
      <c r="T45" s="97"/>
      <c r="U45" s="97"/>
      <c r="V45" s="134"/>
      <c r="W45" s="134"/>
      <c r="X45" s="134"/>
      <c r="Y45" s="134"/>
      <c r="Z45" s="134"/>
      <c r="AA45" s="134"/>
    </row>
    <row r="46" spans="1:27" ht="12.75" customHeight="1">
      <c r="A46" s="67"/>
      <c r="B46" s="91"/>
      <c r="C46" s="150" t="str">
        <f>IF(Front!F36= "","","Unit Size")</f>
        <v>Unit Size</v>
      </c>
      <c r="D46" s="150"/>
      <c r="E46" s="84" t="str">
        <f>IF(Front!F36= "","",VLOOKUP(VLOOKUP(Front!F36,Data!$B$3:$X$38,10,FALSE),Airflow!$AW$6:$BF$9,2,FALSE))</f>
        <v>Tap</v>
      </c>
      <c r="F46" s="84">
        <f>IFERROR(IF(VLOOKUP(VLOOKUP(Front!F36,Data!$B$3:$X$38,10,FALSE),Airflow!$AW$6:$BF$9,3,FALSE)= "","",VLOOKUP(VLOOKUP(Front!F36,Data!$B$3:$X$38,10,FALSE),Airflow!$AW$6:$BF$9,3,FALSE)),"")</f>
        <v>0.1</v>
      </c>
      <c r="G46" s="84">
        <f>IFERROR(IF(VLOOKUP(VLOOKUP(Front!F36,Data!$B$3:$X$38,10,FALSE),Airflow!$AW$6:$BF$9,4,FALSE)= "","",VLOOKUP(VLOOKUP(Front!F36,Data!$B$3:$X$38,10,FALSE),Airflow!$AW$6:$BF$9,4,FALSE)),"")</f>
        <v>0.2</v>
      </c>
      <c r="H46" s="84">
        <f>IFERROR(IF(VLOOKUP(VLOOKUP(Front!F36,Data!$B$3:$X$38,10,FALSE),Airflow!$AW$6:$BF$9,5,FALSE)= "","",VLOOKUP(VLOOKUP(Front!F36,Data!$B$3:$X$38,10,FALSE),Airflow!$AW$6:$BF$9,5,FALSE)),"")</f>
        <v>0.3</v>
      </c>
      <c r="I46" s="84">
        <f>IFERROR(IF(VLOOKUP(VLOOKUP(Front!F36,Data!$B$3:$X$38,10,FALSE),Airflow!$AW$6:$BF$9,6,FALSE)= "","",VLOOKUP(VLOOKUP(Front!F36,Data!$B$3:$X$38,10,FALSE),Airflow!$AW$6:$BF$9,6,FALSE)),"")</f>
        <v>0.4</v>
      </c>
      <c r="J46" s="84">
        <f>IFERROR(IF(VLOOKUP(VLOOKUP(Front!F36,Data!$B$3:$X$38,10,FALSE),Airflow!$AW$6:$BF$9,7,FALSE)= "","",VLOOKUP(VLOOKUP(Front!F36,Data!$B$3:$X$38,10,FALSE),Airflow!$AW$6:$BF$9,7,FALSE)),"")</f>
        <v>0.5</v>
      </c>
      <c r="K46" s="84">
        <f>IFERROR(IF(VLOOKUP(VLOOKUP(Front!F36,Data!$B$3:$X$38,10,FALSE),Airflow!$AW$6:$BF$9,8,FALSE)= "","",VLOOKUP(VLOOKUP(Front!F36,Data!$B$3:$X$38,10,FALSE),Airflow!$AW$6:$BF$9,8,FALSE)),"")</f>
        <v>0.6</v>
      </c>
      <c r="L46" s="84">
        <f>IFERROR(IF(VLOOKUP(VLOOKUP(Front!F36,Data!$B$3:$X$38,10,FALSE),Airflow!$AW$6:$BF$9,9,FALSE)= "","",VLOOKUP(VLOOKUP(Front!F36,Data!$B$3:$X$38,10,FALSE),Airflow!$AW$6:$BF$9,9,FALSE)),"")</f>
        <v>0.7</v>
      </c>
      <c r="M46" s="84">
        <f>IFERROR(IF(VLOOKUP(VLOOKUP(Front!F36,Data!$B$3:$X$38,10,FALSE),Airflow!$AW$6:$BF$9,10,FALSE)= "","",VLOOKUP(VLOOKUP(Front!F36,Data!$B$3:$X$38,10,FALSE),Airflow!$AW$6:$BF$9,10,FALSE)),"")</f>
        <v>0.8</v>
      </c>
      <c r="N46" s="84">
        <f>IFERROR(IF(VLOOKUP(VLOOKUP(Front!F36,Data!$B$3:$X$38,10,FALSE),Airflow!$AW$6:$BH$9,10,FALSE)= "","",VLOOKUP(VLOOKUP(Front!F36,Data!$B$3:$X$38,10,FALSE),Airflow!$AW$6:$BH$9,11,FALSE)),"")</f>
        <v>0.9</v>
      </c>
      <c r="O46" s="84" t="str">
        <f>IFERROR(IF(VLOOKUP(VLOOKUP(Front!F36,Data!$B$3:$X$38,10,FALSE),Airflow!$AW$6:$BH$9,10,FALSE)= "","",VLOOKUP(VLOOKUP(Front!F36,Data!$B$3:$X$38,10,FALSE),Airflow!$AW$6:$BH$9,12,FALSE)),"")</f>
        <v>1.0</v>
      </c>
      <c r="P46" s="135"/>
      <c r="Q46" s="131"/>
      <c r="R46" s="131"/>
      <c r="S46" s="134"/>
      <c r="T46" s="97"/>
      <c r="U46" s="97"/>
      <c r="V46" s="97"/>
      <c r="W46" s="97"/>
      <c r="X46" s="97"/>
      <c r="Y46" s="97"/>
      <c r="Z46" s="97"/>
      <c r="AA46" s="97"/>
    </row>
    <row r="47" spans="1:27" ht="12.75" customHeight="1">
      <c r="A47" s="67"/>
      <c r="B47" s="91"/>
      <c r="C47" s="150" t="str">
        <f>IF(Front!F36= "","",Front!F36)</f>
        <v>AEFE5C00S1HR2</v>
      </c>
      <c r="D47" s="150"/>
      <c r="E47" s="85">
        <f>IFERROR(IF(VLOOKUP(VLOOKUP($C$47,Data!$B$3:$AB$38,7,FALSE)&amp;"_"&amp;VLOOKUP($C$47,Data!$B$3:$AB$38,24,FALSE)&amp;"_"&amp;VLOOKUP($C$47,Data!$B$3:$AB$38,10,FALSE)&amp;"_1",Airflow!$B$6:$N$25,3,FALSE)="","",VLOOKUP(VLOOKUP($C$47,Data!$B$3:$AB$38,7,FALSE)&amp;"_"&amp;VLOOKUP($C$47,Data!$B$3:$AB$38,24,FALSE)&amp;"_"&amp;VLOOKUP($C$47,Data!$B$3:$AB$38,10,FALSE)&amp;"_1",Airflow!$B$6:$N$25,3,FALSE)),"")</f>
        <v>1</v>
      </c>
      <c r="F47" s="85">
        <f>IFERROR(IF(VLOOKUP(VLOOKUP($C$47,Data!$B$3:$AB$38,7,FALSE)&amp;"_"&amp;VLOOKUP($C$47,Data!$B$3:$AB$38,24,FALSE)&amp;"_"&amp;VLOOKUP($C$47,Data!$B$3:$AB$38,10,FALSE)&amp;"_1",Airflow!$B$6:$N$25,4,FALSE)="","",VLOOKUP(VLOOKUP($C$47,Data!$B$3:$AB$38,7,FALSE)&amp;"_"&amp;VLOOKUP($C$47,Data!$B$3:$AB$38,24,FALSE)&amp;"_"&amp;VLOOKUP($C$47,Data!$B$3:$AB$38,10,FALSE)&amp;"_1",Airflow!$B$6:$N$25,4,FALSE)),"")</f>
        <v>1525</v>
      </c>
      <c r="G47" s="85">
        <f>IFERROR(IF(VLOOKUP(VLOOKUP($C$47,Data!$B$3:$AB$38,7,FALSE)&amp;"_"&amp;VLOOKUP($C$47,Data!$B$3:$AB$38,24,FALSE)&amp;"_"&amp;VLOOKUP($C$47,Data!$B$3:$AB$38,10,FALSE)&amp;"_1",Airflow!$B$6:$N$25,5,FALSE)="","",VLOOKUP(VLOOKUP($C$47,Data!$B$3:$AB$38,7,FALSE)&amp;"_"&amp;VLOOKUP($C$47,Data!$B$3:$AB$38,24,FALSE)&amp;"_"&amp;VLOOKUP($C$47,Data!$B$3:$AB$38,10,FALSE)&amp;"_1",Airflow!$B$6:$N$25,5,FALSE)),"")</f>
        <v>1458</v>
      </c>
      <c r="H47" s="85">
        <f>IFERROR(IF(VLOOKUP(VLOOKUP($C$47,Data!$B$3:$AB$38,7,FALSE)&amp;"_"&amp;VLOOKUP($C$47,Data!$B$3:$AB$38,24,FALSE)&amp;"_"&amp;VLOOKUP($C$47,Data!$B$3:$AB$38,10,FALSE)&amp;"_1",Airflow!$B$6:$N$25,6,FALSE)="","",VLOOKUP(VLOOKUP($C$47,Data!$B$3:$AB$38,7,FALSE)&amp;"_"&amp;VLOOKUP($C$47,Data!$B$3:$AB$38,24,FALSE)&amp;"_"&amp;VLOOKUP($C$47,Data!$B$3:$AB$38,10,FALSE)&amp;"_1",Airflow!$B$6:$N$25,6,FALSE)),"")</f>
        <v>1394</v>
      </c>
      <c r="I47" s="85">
        <f>IFERROR(IF(VLOOKUP(VLOOKUP($C$47,Data!$B$3:$AB$38,7,FALSE)&amp;"_"&amp;VLOOKUP($C$47,Data!$B$3:$AB$38,24,FALSE)&amp;"_"&amp;VLOOKUP($C$47,Data!$B$3:$AB$38,10,FALSE)&amp;"_1",Airflow!$B$6:$N$25,7,FALSE)="","",VLOOKUP(VLOOKUP($C$47,Data!$B$3:$AB$38,7,FALSE)&amp;"_"&amp;VLOOKUP($C$47,Data!$B$3:$AB$38,24,FALSE)&amp;"_"&amp;VLOOKUP($C$47,Data!$B$3:$AB$38,10,FALSE)&amp;"_1",Airflow!$B$6:$N$25,7,FALSE)),"")</f>
        <v>1339</v>
      </c>
      <c r="J47" s="85">
        <f>IFERROR(IF(VLOOKUP(VLOOKUP($C$47,Data!$B$3:$AB$38,7,FALSE)&amp;"_"&amp;VLOOKUP($C$47,Data!$B$3:$AB$38,24,FALSE)&amp;"_"&amp;VLOOKUP($C$47,Data!$B$3:$AB$38,10,FALSE)&amp;"_1",Airflow!$B$6:$N$25,8,FALSE)="","",VLOOKUP(VLOOKUP($C$47,Data!$B$3:$AB$38,7,FALSE)&amp;"_"&amp;VLOOKUP($C$47,Data!$B$3:$AB$38,24,FALSE)&amp;"_"&amp;VLOOKUP($C$47,Data!$B$3:$AB$38,10,FALSE)&amp;"_1",Airflow!$B$6:$N$25,8,FALSE)),"")</f>
        <v>1286</v>
      </c>
      <c r="K47" s="85">
        <f>IFERROR(IF(VLOOKUP(VLOOKUP($C$47,Data!$B$3:$AB$38,7,FALSE)&amp;"_"&amp;VLOOKUP($C$47,Data!$B$3:$AB$38,24,FALSE)&amp;"_"&amp;VLOOKUP($C$47,Data!$B$3:$AB$38,10,FALSE)&amp;"_1",Airflow!$B$6:$N$25,9,FALSE)="","",VLOOKUP(VLOOKUP($C$47,Data!$B$3:$AB$38,7,FALSE)&amp;"_"&amp;VLOOKUP($C$47,Data!$B$3:$AB$38,24,FALSE)&amp;"_"&amp;VLOOKUP($C$47,Data!$B$3:$AB$38,10,FALSE)&amp;"_1",Airflow!$B$6:$N$25,9,FALSE)),"")</f>
        <v>1228</v>
      </c>
      <c r="L47" s="85">
        <f>IFERROR(IF(VLOOKUP(VLOOKUP($C$47,Data!$B$3:$AB$38,7,FALSE)&amp;"_"&amp;VLOOKUP($C$47,Data!$B$3:$AB$38,24,FALSE)&amp;"_"&amp;VLOOKUP($C$47,Data!$B$3:$AB$38,10,FALSE)&amp;"_1",Airflow!$B$6:$N$25,10,FALSE)="","",VLOOKUP(VLOOKUP($C$47,Data!$B$3:$AB$38,7,FALSE)&amp;"_"&amp;VLOOKUP($C$47,Data!$B$3:$AB$38,24,FALSE)&amp;"_"&amp;VLOOKUP($C$47,Data!$B$3:$AB$38,10,FALSE)&amp;"_1",Airflow!$B$6:$N$25,10,FALSE)),"")</f>
        <v>1167</v>
      </c>
      <c r="M47" s="85">
        <f>IFERROR(IF(VLOOKUP(VLOOKUP($C$47,Data!$B$3:$AB$38,7,FALSE)&amp;"_"&amp;VLOOKUP($C$47,Data!$B$3:$AB$38,24,FALSE)&amp;"_"&amp;VLOOKUP($C$47,Data!$B$3:$AB$38,10,FALSE)&amp;"_1",Airflow!$B$6:$N$25,11,FALSE)="","",VLOOKUP(VLOOKUP($C$47,Data!$B$3:$AB$38,7,FALSE)&amp;"_"&amp;VLOOKUP($C$47,Data!$B$3:$AB$38,24,FALSE)&amp;"_"&amp;VLOOKUP($C$47,Data!$B$3:$AB$38,10,FALSE)&amp;"_1",Airflow!$B$6:$N$25,11,FALSE)),"")</f>
        <v>1106</v>
      </c>
      <c r="N47" s="85">
        <f>IFERROR(IF(VLOOKUP(VLOOKUP($C$47,Data!$B$3:$AB$38,7,FALSE)&amp;"_"&amp;VLOOKUP($C$47,Data!$B$3:$AB$38,24,FALSE)&amp;"_"&amp;VLOOKUP($C$47,Data!$B$3:$AB$38,10,FALSE)&amp;"_1",Airflow!$B$6:$N$25,12,FALSE)="","",VLOOKUP(VLOOKUP($C$47,Data!$B$3:$AB$38,7,FALSE)&amp;"_"&amp;VLOOKUP($C$47,Data!$B$3:$AB$38,24,FALSE)&amp;"_"&amp;VLOOKUP($C$47,Data!$B$3:$AB$38,10,FALSE)&amp;"_1",Airflow!$B$6:$N$25,12,FALSE)),"")</f>
        <v>1038</v>
      </c>
      <c r="O47" s="85">
        <f>IFERROR(IF(VLOOKUP(VLOOKUP($C$47,Data!$B$3:$AB$38,7,FALSE)&amp;"_"&amp;VLOOKUP($C$47,Data!$B$3:$AB$38,24,FALSE)&amp;"_"&amp;VLOOKUP($C$47,Data!$B$3:$AB$38,10,FALSE)&amp;"_1",Airflow!$B$6:$N$25,13,FALSE)="","",VLOOKUP(VLOOKUP($C$47,Data!$B$3:$AB$38,7,FALSE)&amp;"_"&amp;VLOOKUP($C$47,Data!$B$3:$AB$38,24,FALSE)&amp;"_"&amp;VLOOKUP($C$47,Data!$B$3:$AB$38,10,FALSE)&amp;"_1",Airflow!$B$6:$N$25,13,FALSE)),"")</f>
        <v>962</v>
      </c>
      <c r="P47" s="135"/>
      <c r="Q47" s="86"/>
      <c r="R47" s="99"/>
      <c r="S47" s="99"/>
      <c r="T47" s="99"/>
      <c r="U47" s="99"/>
      <c r="V47" s="99"/>
      <c r="W47" s="99"/>
      <c r="X47" s="99"/>
      <c r="Y47" s="99"/>
      <c r="Z47" s="99"/>
      <c r="AA47" s="99"/>
    </row>
    <row r="48" spans="1:27" ht="12.75" customHeight="1">
      <c r="A48" s="30"/>
      <c r="B48" s="92"/>
      <c r="C48" s="83"/>
      <c r="D48" s="83"/>
      <c r="E48" s="85">
        <f>IFERROR(IF(VLOOKUP(VLOOKUP($C$47,Data!$B$3:$AB$38,7,FALSE)&amp;"_"&amp;VLOOKUP($C$47,Data!$B$3:$AB$38,24,FALSE)&amp;"_"&amp;VLOOKUP($C$47,Data!$B$3:$AB$38,10,FALSE)&amp;"_3",Airflow!$B$6:$N$25,3,FALSE)="","",VLOOKUP(VLOOKUP($C$47,Data!$B$3:$AB$38,7,FALSE)&amp;"_"&amp;VLOOKUP($C$47,Data!$B$3:$AB$38,24,FALSE)&amp;"_"&amp;VLOOKUP($C$47,Data!$B$3:$AB$38,10,FALSE)&amp;"_2",Airflow!$B$6:$N$25,3,FALSE)),"")</f>
        <v>2</v>
      </c>
      <c r="F48" s="85">
        <f>IFERROR(IF(VLOOKUP(VLOOKUP($C$47,Data!$B$3:$AB$38,7,FALSE)&amp;"_"&amp;VLOOKUP($C$47,Data!$B$3:$AB$38,24,FALSE)&amp;"_"&amp;VLOOKUP($C$47,Data!$B$3:$AB$38,10,FALSE)&amp;"_3",Airflow!$B$6:$N$25,4,FALSE)="","",VLOOKUP(VLOOKUP($C$47,Data!$B$3:$AB$38,7,FALSE)&amp;"_"&amp;VLOOKUP($C$47,Data!$B$3:$AB$38,24,FALSE)&amp;"_"&amp;VLOOKUP($C$47,Data!$B$3:$AB$38,10,FALSE)&amp;"_2",Airflow!$B$6:$N$25,4,FALSE)),"")</f>
        <v>1693</v>
      </c>
      <c r="G48" s="85">
        <f>IFERROR(IF(VLOOKUP(VLOOKUP($C$47,Data!$B$3:$AB$38,7,FALSE)&amp;"_"&amp;VLOOKUP($C$47,Data!$B$3:$AB$38,24,FALSE)&amp;"_"&amp;VLOOKUP($C$47,Data!$B$3:$AB$38,10,FALSE)&amp;"_3",Airflow!$B$6:$N$25,5,FALSE)="","",VLOOKUP(VLOOKUP($C$47,Data!$B$3:$AB$38,7,FALSE)&amp;"_"&amp;VLOOKUP($C$47,Data!$B$3:$AB$38,24,FALSE)&amp;"_"&amp;VLOOKUP($C$47,Data!$B$3:$AB$38,10,FALSE)&amp;"_2",Airflow!$B$6:$N$25,5,FALSE)),"")</f>
        <v>1638</v>
      </c>
      <c r="H48" s="85">
        <f>IFERROR(IF(VLOOKUP(VLOOKUP($C$47,Data!$B$3:$AB$38,7,FALSE)&amp;"_"&amp;VLOOKUP($C$47,Data!$B$3:$AB$38,24,FALSE)&amp;"_"&amp;VLOOKUP($C$47,Data!$B$3:$AB$38,10,FALSE)&amp;"_3",Airflow!$B$6:$N$25,6,FALSE)="","",VLOOKUP(VLOOKUP($C$47,Data!$B$3:$AB$38,7,FALSE)&amp;"_"&amp;VLOOKUP($C$47,Data!$B$3:$AB$38,24,FALSE)&amp;"_"&amp;VLOOKUP($C$47,Data!$B$3:$AB$38,10,FALSE)&amp;"_2",Airflow!$B$6:$N$25,6,FALSE)),"")</f>
        <v>1584</v>
      </c>
      <c r="I48" s="85">
        <f>IFERROR(IF(VLOOKUP(VLOOKUP($C$47,Data!$B$3:$AB$38,7,FALSE)&amp;"_"&amp;VLOOKUP($C$47,Data!$B$3:$AB$38,24,FALSE)&amp;"_"&amp;VLOOKUP($C$47,Data!$B$3:$AB$38,10,FALSE)&amp;"_3",Airflow!$B$6:$N$25,7,FALSE)="","",VLOOKUP(VLOOKUP($C$47,Data!$B$3:$AB$38,7,FALSE)&amp;"_"&amp;VLOOKUP($C$47,Data!$B$3:$AB$38,24,FALSE)&amp;"_"&amp;VLOOKUP($C$47,Data!$B$3:$AB$38,10,FALSE)&amp;"_2",Airflow!$B$6:$N$25,7,FALSE)),"")</f>
        <v>1530</v>
      </c>
      <c r="J48" s="85">
        <f>IFERROR(IF(VLOOKUP(VLOOKUP($C$47,Data!$B$3:$AB$38,7,FALSE)&amp;"_"&amp;VLOOKUP($C$47,Data!$B$3:$AB$38,24,FALSE)&amp;"_"&amp;VLOOKUP($C$47,Data!$B$3:$AB$38,10,FALSE)&amp;"_3",Airflow!$B$6:$N$25,8,FALSE)="","",VLOOKUP(VLOOKUP($C$47,Data!$B$3:$AB$38,7,FALSE)&amp;"_"&amp;VLOOKUP($C$47,Data!$B$3:$AB$38,24,FALSE)&amp;"_"&amp;VLOOKUP($C$47,Data!$B$3:$AB$38,10,FALSE)&amp;"_2",Airflow!$B$6:$N$25,8,FALSE)),"")</f>
        <v>1475</v>
      </c>
      <c r="K48" s="85">
        <f>IFERROR(IF(VLOOKUP(VLOOKUP($C$47,Data!$B$3:$AB$38,7,FALSE)&amp;"_"&amp;VLOOKUP($C$47,Data!$B$3:$AB$38,24,FALSE)&amp;"_"&amp;VLOOKUP($C$47,Data!$B$3:$AB$38,10,FALSE)&amp;"_3",Airflow!$B$6:$N$25,9,FALSE)="","",VLOOKUP(VLOOKUP($C$47,Data!$B$3:$AB$38,7,FALSE)&amp;"_"&amp;VLOOKUP($C$47,Data!$B$3:$AB$38,24,FALSE)&amp;"_"&amp;VLOOKUP($C$47,Data!$B$3:$AB$38,10,FALSE)&amp;"_2",Airflow!$B$6:$N$25,9,FALSE)),"")</f>
        <v>1420</v>
      </c>
      <c r="L48" s="85">
        <f>IFERROR(IF(VLOOKUP(VLOOKUP($C$47,Data!$B$3:$AB$38,7,FALSE)&amp;"_"&amp;VLOOKUP($C$47,Data!$B$3:$AB$38,24,FALSE)&amp;"_"&amp;VLOOKUP($C$47,Data!$B$3:$AB$38,10,FALSE)&amp;"_3",Airflow!$B$6:$N$25,10,FALSE)="","",VLOOKUP(VLOOKUP($C$47,Data!$B$3:$AB$38,7,FALSE)&amp;"_"&amp;VLOOKUP($C$47,Data!$B$3:$AB$38,24,FALSE)&amp;"_"&amp;VLOOKUP($C$47,Data!$B$3:$AB$38,10,FALSE)&amp;"_2",Airflow!$B$6:$N$25,10,FALSE)),"")</f>
        <v>1372</v>
      </c>
      <c r="M48" s="85">
        <f>IFERROR(IF(VLOOKUP(VLOOKUP($C$47,Data!$B$3:$AB$38,7,FALSE)&amp;"_"&amp;VLOOKUP($C$47,Data!$B$3:$AB$38,24,FALSE)&amp;"_"&amp;VLOOKUP($C$47,Data!$B$3:$AB$38,10,FALSE)&amp;"_3",Airflow!$B$6:$N$25,11,FALSE)="","",VLOOKUP(VLOOKUP($C$47,Data!$B$3:$AB$38,7,FALSE)&amp;"_"&amp;VLOOKUP($C$47,Data!$B$3:$AB$38,24,FALSE)&amp;"_"&amp;VLOOKUP($C$47,Data!$B$3:$AB$38,10,FALSE)&amp;"_2",Airflow!$B$6:$N$25,11,FALSE)),"")</f>
        <v>1316</v>
      </c>
      <c r="N48" s="85">
        <f>IFERROR(IF(VLOOKUP(VLOOKUP($C$47,Data!$B$3:$AB$38,7,FALSE)&amp;"_"&amp;VLOOKUP($C$47,Data!$B$3:$AB$38,24,FALSE)&amp;"_"&amp;VLOOKUP($C$47,Data!$B$3:$AB$38,10,FALSE)&amp;"_3",Airflow!$B$6:$N$25,12,FALSE)="","",VLOOKUP(VLOOKUP($C$47,Data!$B$3:$AB$38,7,FALSE)&amp;"_"&amp;VLOOKUP($C$47,Data!$B$3:$AB$38,24,FALSE)&amp;"_"&amp;VLOOKUP($C$47,Data!$B$3:$AB$38,10,FALSE)&amp;"_2",Airflow!$B$6:$N$25,12,FALSE)),"")</f>
        <v>1259</v>
      </c>
      <c r="O48" s="85">
        <f>IFERROR(IF(VLOOKUP(VLOOKUP($C$47,Data!$B$3:$AB$38,7,FALSE)&amp;"_"&amp;VLOOKUP($C$47,Data!$B$3:$AB$38,24,FALSE)&amp;"_"&amp;VLOOKUP($C$47,Data!$B$3:$AB$38,10,FALSE)&amp;"_3",Airflow!$B$6:$N$25,13,FALSE)="","",VLOOKUP(VLOOKUP($C$47,Data!$B$3:$AB$38,7,FALSE)&amp;"_"&amp;VLOOKUP($C$47,Data!$B$3:$AB$38,24,FALSE)&amp;"_"&amp;VLOOKUP($C$47,Data!$B$3:$AB$38,10,FALSE)&amp;"_2",Airflow!$B$6:$N$25,13,FALSE)),"")</f>
        <v>1207</v>
      </c>
      <c r="P48" s="135"/>
      <c r="Q48" s="74"/>
      <c r="R48" s="99"/>
      <c r="S48" s="99"/>
      <c r="T48" s="99"/>
      <c r="U48" s="99"/>
      <c r="V48" s="99"/>
      <c r="W48" s="99"/>
      <c r="X48" s="99"/>
      <c r="Y48" s="99"/>
      <c r="Z48" s="99"/>
      <c r="AA48" s="99"/>
    </row>
    <row r="49" spans="1:27" ht="12.75" customHeight="1">
      <c r="A49" s="69"/>
      <c r="B49" s="93"/>
      <c r="C49" s="83"/>
      <c r="D49" s="83"/>
      <c r="E49" s="85" t="str">
        <f>IFERROR(IF(VLOOKUP(VLOOKUP($C$47,Data!$B$3:$AB$38,7,FALSE)&amp;"_"&amp;VLOOKUP($C$47,Data!$B$3:$AB$38,24,FALSE)&amp;"_"&amp;VLOOKUP($C$47,Data!$B$3:$AB$38,10,FALSE)&amp;"_3",Airflow!$B$6:$N$25,3,FALSE)="","",VLOOKUP(VLOOKUP($C$47,Data!$B$3:$AB$38,7,FALSE)&amp;"_"&amp;VLOOKUP($C$47,Data!$B$3:$AB$38,24,FALSE)&amp;"_"&amp;VLOOKUP($C$47,Data!$B$3:$AB$38,10,FALSE)&amp;"_3",Airflow!$B$6:$N$25,3,FALSE)),"")</f>
        <v>3</v>
      </c>
      <c r="F49" s="85">
        <f>IFERROR(IF(VLOOKUP(VLOOKUP($C$47,Data!$B$3:$AB$38,7,FALSE)&amp;"_"&amp;VLOOKUP($C$47,Data!$B$3:$AB$38,24,FALSE)&amp;"_"&amp;VLOOKUP($C$47,Data!$B$3:$AB$38,10,FALSE)&amp;"_3",Airflow!$B$6:$N$25,4,FALSE)="","",VLOOKUP(VLOOKUP($C$47,Data!$B$3:$AB$38,7,FALSE)&amp;"_"&amp;VLOOKUP($C$47,Data!$B$3:$AB$38,24,FALSE)&amp;"_"&amp;VLOOKUP($C$47,Data!$B$3:$AB$38,10,FALSE)&amp;"_3",Airflow!$B$6:$N$25,4,FALSE)),"")</f>
        <v>2079</v>
      </c>
      <c r="G49" s="85">
        <f>IFERROR(IF(VLOOKUP(VLOOKUP($C$47,Data!$B$3:$AB$38,7,FALSE)&amp;"_"&amp;VLOOKUP($C$47,Data!$B$3:$AB$38,24,FALSE)&amp;"_"&amp;VLOOKUP($C$47,Data!$B$3:$AB$38,10,FALSE)&amp;"_3",Airflow!$B$6:$N$25,5,FALSE)="","",VLOOKUP(VLOOKUP($C$47,Data!$B$3:$AB$38,7,FALSE)&amp;"_"&amp;VLOOKUP($C$47,Data!$B$3:$AB$38,24,FALSE)&amp;"_"&amp;VLOOKUP($C$47,Data!$B$3:$AB$38,10,FALSE)&amp;"_3",Airflow!$B$6:$N$25,5,FALSE)),"")</f>
        <v>2033</v>
      </c>
      <c r="H49" s="85">
        <f>IFERROR(IF(VLOOKUP(VLOOKUP($C$47,Data!$B$3:$AB$38,7,FALSE)&amp;"_"&amp;VLOOKUP($C$47,Data!$B$3:$AB$38,24,FALSE)&amp;"_"&amp;VLOOKUP($C$47,Data!$B$3:$AB$38,10,FALSE)&amp;"_3",Airflow!$B$6:$N$25,6,FALSE)="","",VLOOKUP(VLOOKUP($C$47,Data!$B$3:$AB$38,7,FALSE)&amp;"_"&amp;VLOOKUP($C$47,Data!$B$3:$AB$38,24,FALSE)&amp;"_"&amp;VLOOKUP($C$47,Data!$B$3:$AB$38,10,FALSE)&amp;"_3",Airflow!$B$6:$N$25,6,FALSE)),"")</f>
        <v>1982</v>
      </c>
      <c r="I49" s="85">
        <f>IFERROR(IF(VLOOKUP(VLOOKUP($C$47,Data!$B$3:$AB$38,7,FALSE)&amp;"_"&amp;VLOOKUP($C$47,Data!$B$3:$AB$38,24,FALSE)&amp;"_"&amp;VLOOKUP($C$47,Data!$B$3:$AB$38,10,FALSE)&amp;"_3",Airflow!$B$6:$N$25,7,FALSE)="","",VLOOKUP(VLOOKUP($C$47,Data!$B$3:$AB$38,7,FALSE)&amp;"_"&amp;VLOOKUP($C$47,Data!$B$3:$AB$38,24,FALSE)&amp;"_"&amp;VLOOKUP($C$47,Data!$B$3:$AB$38,10,FALSE)&amp;"_3",Airflow!$B$6:$N$25,7,FALSE)),"")</f>
        <v>1951</v>
      </c>
      <c r="J49" s="85">
        <f>IFERROR(IF(VLOOKUP(VLOOKUP($C$47,Data!$B$3:$AB$38,7,FALSE)&amp;"_"&amp;VLOOKUP($C$47,Data!$B$3:$AB$38,24,FALSE)&amp;"_"&amp;VLOOKUP($C$47,Data!$B$3:$AB$38,10,FALSE)&amp;"_3",Airflow!$B$6:$N$25,8,FALSE)="","",VLOOKUP(VLOOKUP($C$47,Data!$B$3:$AB$38,7,FALSE)&amp;"_"&amp;VLOOKUP($C$47,Data!$B$3:$AB$38,24,FALSE)&amp;"_"&amp;VLOOKUP($C$47,Data!$B$3:$AB$38,10,FALSE)&amp;"_3",Airflow!$B$6:$N$25,8,FALSE)),"")</f>
        <v>1905</v>
      </c>
      <c r="K49" s="85">
        <f>IFERROR(IF(VLOOKUP(VLOOKUP($C$47,Data!$B$3:$AB$38,7,FALSE)&amp;"_"&amp;VLOOKUP($C$47,Data!$B$3:$AB$38,24,FALSE)&amp;"_"&amp;VLOOKUP($C$47,Data!$B$3:$AB$38,10,FALSE)&amp;"_3",Airflow!$B$6:$N$25,9,FALSE)="","",VLOOKUP(VLOOKUP($C$47,Data!$B$3:$AB$38,7,FALSE)&amp;"_"&amp;VLOOKUP($C$47,Data!$B$3:$AB$38,24,FALSE)&amp;"_"&amp;VLOOKUP($C$47,Data!$B$3:$AB$38,10,FALSE)&amp;"_3",Airflow!$B$6:$N$25,9,FALSE)),"")</f>
        <v>1858</v>
      </c>
      <c r="L49" s="85">
        <f>IFERROR(IF(VLOOKUP(VLOOKUP($C$47,Data!$B$3:$AB$38,7,FALSE)&amp;"_"&amp;VLOOKUP($C$47,Data!$B$3:$AB$38,24,FALSE)&amp;"_"&amp;VLOOKUP($C$47,Data!$B$3:$AB$38,10,FALSE)&amp;"_3",Airflow!$B$6:$N$25,10,FALSE)="","",VLOOKUP(VLOOKUP($C$47,Data!$B$3:$AB$38,7,FALSE)&amp;"_"&amp;VLOOKUP($C$47,Data!$B$3:$AB$38,24,FALSE)&amp;"_"&amp;VLOOKUP($C$47,Data!$B$3:$AB$38,10,FALSE)&amp;"_3",Airflow!$B$6:$N$25,10,FALSE)),"")</f>
        <v>1820</v>
      </c>
      <c r="M49" s="85">
        <f>IFERROR(IF(VLOOKUP(VLOOKUP($C$47,Data!$B$3:$AB$38,7,FALSE)&amp;"_"&amp;VLOOKUP($C$47,Data!$B$3:$AB$38,24,FALSE)&amp;"_"&amp;VLOOKUP($C$47,Data!$B$3:$AB$38,10,FALSE)&amp;"_3",Airflow!$B$6:$N$25,11,FALSE)="","",VLOOKUP(VLOOKUP($C$47,Data!$B$3:$AB$38,7,FALSE)&amp;"_"&amp;VLOOKUP($C$47,Data!$B$3:$AB$38,24,FALSE)&amp;"_"&amp;VLOOKUP($C$47,Data!$B$3:$AB$38,10,FALSE)&amp;"_3",Airflow!$B$6:$N$25,11,FALSE)),"")</f>
        <v>1781</v>
      </c>
      <c r="N49" s="85">
        <f>IFERROR(IF(VLOOKUP(VLOOKUP($C$47,Data!$B$3:$AB$38,7,FALSE)&amp;"_"&amp;VLOOKUP($C$47,Data!$B$3:$AB$38,24,FALSE)&amp;"_"&amp;VLOOKUP($C$47,Data!$B$3:$AB$38,10,FALSE)&amp;"_3",Airflow!$B$6:$N$25,12,FALSE)="","",VLOOKUP(VLOOKUP($C$47,Data!$B$3:$AB$38,7,FALSE)&amp;"_"&amp;VLOOKUP($C$47,Data!$B$3:$AB$38,24,FALSE)&amp;"_"&amp;VLOOKUP($C$47,Data!$B$3:$AB$38,10,FALSE)&amp;"_3",Airflow!$B$6:$N$25,12,FALSE)),"")</f>
        <v>1741</v>
      </c>
      <c r="O49" s="85">
        <f>IFERROR(IF(VLOOKUP(VLOOKUP($C$47,Data!$B$3:$AB$38,7,FALSE)&amp;"_"&amp;VLOOKUP($C$47,Data!$B$3:$AB$38,24,FALSE)&amp;"_"&amp;VLOOKUP($C$47,Data!$B$3:$AB$38,10,FALSE)&amp;"_3",Airflow!$B$6:$N$25,13,FALSE)="","",VLOOKUP(VLOOKUP($C$47,Data!$B$3:$AB$38,7,FALSE)&amp;"_"&amp;VLOOKUP($C$47,Data!$B$3:$AB$38,24,FALSE)&amp;"_"&amp;VLOOKUP($C$47,Data!$B$3:$AB$38,10,FALSE)&amp;"_3",Airflow!$B$6:$N$25,13,FALSE)),"")</f>
        <v>1698</v>
      </c>
      <c r="P49" s="135"/>
      <c r="Q49" s="127"/>
      <c r="R49" s="70"/>
      <c r="S49" s="128"/>
      <c r="T49" s="70"/>
      <c r="U49" s="71"/>
      <c r="V49" s="72"/>
      <c r="W49" s="72"/>
      <c r="X49" s="72"/>
      <c r="Y49" s="72"/>
      <c r="Z49" s="71"/>
      <c r="AA49" s="70"/>
    </row>
    <row r="50" spans="1:27" ht="12.75" customHeight="1">
      <c r="A50" s="67"/>
      <c r="B50" s="91"/>
      <c r="C50" s="83"/>
      <c r="D50" s="83"/>
      <c r="E50" s="85" t="str">
        <f>IFERROR(IF(VLOOKUP(VLOOKUP($C$47,Data!$B$3:$AB$38,7,FALSE)&amp;"_"&amp;VLOOKUP($C$47,Data!$B$3:$AB$38,24,FALSE)&amp;"_"&amp;VLOOKUP($C$47,Data!$B$3:$AB$38,10,FALSE)&amp;"_4",Airflow!$B$6:$N$25,3,FALSE)="","",VLOOKUP(VLOOKUP($C$47,Data!$B$3:$AB$38,7,FALSE)&amp;"_"&amp;VLOOKUP($C$47,Data!$B$3:$AB$38,24,FALSE)&amp;"_"&amp;VLOOKUP($C$47,Data!$B$3:$AB$38,10,FALSE)&amp;"_4",Airflow!$B$6:$N$25,3,FALSE)),"")</f>
        <v>4+</v>
      </c>
      <c r="F50" s="85">
        <f>IFERROR(IF(VLOOKUP(VLOOKUP($C$47,Data!$B$3:$AB$38,7,FALSE)&amp;"_"&amp;VLOOKUP($C$47,Data!$B$3:$AB$38,24,FALSE)&amp;"_"&amp;VLOOKUP($C$47,Data!$B$3:$AB$38,10,FALSE)&amp;"_4",Airflow!$B$6:$N$25,4,FALSE)="","",VLOOKUP(VLOOKUP($C$47,Data!$B$3:$AB$38,7,FALSE)&amp;"_"&amp;VLOOKUP($C$47,Data!$B$3:$AB$38,24,FALSE)&amp;"_"&amp;VLOOKUP($C$47,Data!$B$3:$AB$38,10,FALSE)&amp;"_4",Airflow!$B$6:$N$25,4,FALSE)),"")</f>
        <v>1845</v>
      </c>
      <c r="G50" s="85">
        <f>IFERROR(IF(VLOOKUP(VLOOKUP($C$47,Data!$B$3:$AB$38,7,FALSE)&amp;"_"&amp;VLOOKUP($C$47,Data!$B$3:$AB$38,24,FALSE)&amp;"_"&amp;VLOOKUP($C$47,Data!$B$3:$AB$38,10,FALSE)&amp;"_4",Airflow!$B$6:$N$25,5,FALSE)="","",VLOOKUP(VLOOKUP($C$47,Data!$B$3:$AB$38,7,FALSE)&amp;"_"&amp;VLOOKUP($C$47,Data!$B$3:$AB$38,24,FALSE)&amp;"_"&amp;VLOOKUP($C$47,Data!$B$3:$AB$38,10,FALSE)&amp;"_4",Airflow!$B$6:$N$25,5,FALSE)),"")</f>
        <v>1795</v>
      </c>
      <c r="H50" s="85">
        <f>IFERROR(IF(VLOOKUP(VLOOKUP($C$47,Data!$B$3:$AB$38,7,FALSE)&amp;"_"&amp;VLOOKUP($C$47,Data!$B$3:$AB$38,24,FALSE)&amp;"_"&amp;VLOOKUP($C$47,Data!$B$3:$AB$38,10,FALSE)&amp;"_4",Airflow!$B$6:$N$25,6,FALSE)="","",VLOOKUP(VLOOKUP($C$47,Data!$B$3:$AB$38,7,FALSE)&amp;"_"&amp;VLOOKUP($C$47,Data!$B$3:$AB$38,24,FALSE)&amp;"_"&amp;VLOOKUP($C$47,Data!$B$3:$AB$38,10,FALSE)&amp;"_4",Airflow!$B$6:$N$25,6,FALSE)),"")</f>
        <v>1743</v>
      </c>
      <c r="I50" s="85">
        <f>IFERROR(IF(VLOOKUP(VLOOKUP($C$47,Data!$B$3:$AB$38,7,FALSE)&amp;"_"&amp;VLOOKUP($C$47,Data!$B$3:$AB$38,24,FALSE)&amp;"_"&amp;VLOOKUP($C$47,Data!$B$3:$AB$38,10,FALSE)&amp;"_4",Airflow!$B$6:$N$25,7,FALSE)="","",VLOOKUP(VLOOKUP($C$47,Data!$B$3:$AB$38,7,FALSE)&amp;"_"&amp;VLOOKUP($C$47,Data!$B$3:$AB$38,24,FALSE)&amp;"_"&amp;VLOOKUP($C$47,Data!$B$3:$AB$38,10,FALSE)&amp;"_4",Airflow!$B$6:$N$25,7,FALSE)),"")</f>
        <v>1691</v>
      </c>
      <c r="J50" s="85">
        <f>IFERROR(IF(VLOOKUP(VLOOKUP($C$47,Data!$B$3:$AB$38,7,FALSE)&amp;"_"&amp;VLOOKUP($C$47,Data!$B$3:$AB$38,24,FALSE)&amp;"_"&amp;VLOOKUP($C$47,Data!$B$3:$AB$38,10,FALSE)&amp;"_4",Airflow!$B$6:$N$25,8,FALSE)="","",VLOOKUP(VLOOKUP($C$47,Data!$B$3:$AB$38,7,FALSE)&amp;"_"&amp;VLOOKUP($C$47,Data!$B$3:$AB$38,24,FALSE)&amp;"_"&amp;VLOOKUP($C$47,Data!$B$3:$AB$38,10,FALSE)&amp;"_4",Airflow!$B$6:$N$25,8,FALSE)),"")</f>
        <v>1639</v>
      </c>
      <c r="K50" s="85">
        <f>IFERROR(IF(VLOOKUP(VLOOKUP($C$47,Data!$B$3:$AB$38,7,FALSE)&amp;"_"&amp;VLOOKUP($C$47,Data!$B$3:$AB$38,24,FALSE)&amp;"_"&amp;VLOOKUP($C$47,Data!$B$3:$AB$38,10,FALSE)&amp;"_4",Airflow!$B$6:$N$25,9,FALSE)="","",VLOOKUP(VLOOKUP($C$47,Data!$B$3:$AB$38,7,FALSE)&amp;"_"&amp;VLOOKUP($C$47,Data!$B$3:$AB$38,24,FALSE)&amp;"_"&amp;VLOOKUP($C$47,Data!$B$3:$AB$38,10,FALSE)&amp;"_4",Airflow!$B$6:$N$25,9,FALSE)),"")</f>
        <v>1592</v>
      </c>
      <c r="L50" s="85">
        <f>IFERROR(IF(VLOOKUP(VLOOKUP($C$47,Data!$B$3:$AB$38,7,FALSE)&amp;"_"&amp;VLOOKUP($C$47,Data!$B$3:$AB$38,24,FALSE)&amp;"_"&amp;VLOOKUP($C$47,Data!$B$3:$AB$38,10,FALSE)&amp;"_4",Airflow!$B$6:$N$25,10,FALSE)="","",VLOOKUP(VLOOKUP($C$47,Data!$B$3:$AB$38,7,FALSE)&amp;"_"&amp;VLOOKUP($C$47,Data!$B$3:$AB$38,24,FALSE)&amp;"_"&amp;VLOOKUP($C$47,Data!$B$3:$AB$38,10,FALSE)&amp;"_4",Airflow!$B$6:$N$25,10,FALSE)),"")</f>
        <v>1542</v>
      </c>
      <c r="M50" s="85">
        <f>IFERROR(IF(VLOOKUP(VLOOKUP($C$47,Data!$B$3:$AB$38,7,FALSE)&amp;"_"&amp;VLOOKUP($C$47,Data!$B$3:$AB$38,24,FALSE)&amp;"_"&amp;VLOOKUP($C$47,Data!$B$3:$AB$38,10,FALSE)&amp;"_4",Airflow!$B$6:$N$25,11,FALSE)="","",VLOOKUP(VLOOKUP($C$47,Data!$B$3:$AB$38,7,FALSE)&amp;"_"&amp;VLOOKUP($C$47,Data!$B$3:$AB$38,24,FALSE)&amp;"_"&amp;VLOOKUP($C$47,Data!$B$3:$AB$38,10,FALSE)&amp;"_4",Airflow!$B$6:$N$25,11,FALSE)),"")</f>
        <v>1491</v>
      </c>
      <c r="N50" s="85">
        <f>IFERROR(IF(VLOOKUP(VLOOKUP($C$47,Data!$B$3:$AB$38,7,FALSE)&amp;"_"&amp;VLOOKUP($C$47,Data!$B$3:$AB$38,24,FALSE)&amp;"_"&amp;VLOOKUP($C$47,Data!$B$3:$AB$38,10,FALSE)&amp;"_4",Airflow!$B$6:$N$25,12,FALSE)="","",VLOOKUP(VLOOKUP($C$47,Data!$B$3:$AB$38,7,FALSE)&amp;"_"&amp;VLOOKUP($C$47,Data!$B$3:$AB$38,24,FALSE)&amp;"_"&amp;VLOOKUP($C$47,Data!$B$3:$AB$38,10,FALSE)&amp;"_4",Airflow!$B$6:$N$25,12,FALSE)),"")</f>
        <v>1439</v>
      </c>
      <c r="O50" s="85">
        <f>IFERROR(IF(VLOOKUP(VLOOKUP($C$47,Data!$B$3:$AB$38,7,FALSE)&amp;"_"&amp;VLOOKUP($C$47,Data!$B$3:$AB$38,24,FALSE)&amp;"_"&amp;VLOOKUP($C$47,Data!$B$3:$AB$38,10,FALSE)&amp;"_4",Airflow!$B$6:$N$25,13,FALSE)="","",VLOOKUP(VLOOKUP($C$47,Data!$B$3:$AB$38,7,FALSE)&amp;"_"&amp;VLOOKUP($C$47,Data!$B$3:$AB$38,24,FALSE)&amp;"_"&amp;VLOOKUP($C$47,Data!$B$3:$AB$38,10,FALSE)&amp;"_4",Airflow!$B$6:$N$25,13,FALSE)),"")</f>
        <v>1388</v>
      </c>
      <c r="P50" s="135"/>
      <c r="Q50" s="131"/>
      <c r="R50" s="131"/>
      <c r="S50" s="134"/>
      <c r="T50" s="131"/>
      <c r="U50" s="131"/>
      <c r="V50" s="134"/>
      <c r="W50" s="134"/>
      <c r="X50" s="134"/>
      <c r="Y50" s="134"/>
      <c r="Z50" s="134"/>
      <c r="AA50" s="134"/>
    </row>
    <row r="51" spans="1:27" ht="12.75" customHeight="1">
      <c r="A51" s="67"/>
      <c r="B51" s="91"/>
      <c r="C51" s="83"/>
      <c r="D51" s="83"/>
      <c r="E51" s="85" t="str">
        <f>IFERROR(IF(VLOOKUP(VLOOKUP($C$47,Data!$B$3:$AB$38,7,FALSE)&amp;"_"&amp;VLOOKUP($C$47,Data!$B$3:$AB$38,24,FALSE)&amp;"_"&amp;VLOOKUP($C$47,Data!$B$3:$AB$38,10,FALSE)&amp;"_5",Airflow!$B$6:$N$25,3,FALSE)="","",VLOOKUP(VLOOKUP($C$47,Data!$B$3:$AB$38,7,FALSE)&amp;"_"&amp;VLOOKUP($C$47,Data!$B$3:$AB$38,24,FALSE)&amp;"_"&amp;VLOOKUP($C$47,Data!$B$3:$AB$38,10,FALSE)&amp;"_5",Airflow!$B$6:$N$25,3,FALSE)),"")</f>
        <v>5*</v>
      </c>
      <c r="F51" s="85">
        <f>IFERROR(IF(VLOOKUP(VLOOKUP($C$47,Data!$B$3:$AB$38,7,FALSE)&amp;"_"&amp;VLOOKUP($C$47,Data!$B$3:$AB$38,24,FALSE)&amp;"_"&amp;VLOOKUP($C$47,Data!$B$3:$AB$38,10,FALSE)&amp;"_5",Airflow!$B$6:$N$25,4,FALSE)="","",VLOOKUP(VLOOKUP($C$47,Data!$B$3:$AB$38,7,FALSE)&amp;"_"&amp;VLOOKUP($C$47,Data!$B$3:$AB$38,24,FALSE)&amp;"_"&amp;VLOOKUP($C$47,Data!$B$3:$AB$38,10,FALSE)&amp;"_5",Airflow!$B$6:$N$25,4,FALSE)),"")</f>
        <v>2223</v>
      </c>
      <c r="G51" s="85">
        <f>IFERROR(IF(VLOOKUP(VLOOKUP($C$47,Data!$B$3:$AB$38,7,FALSE)&amp;"_"&amp;VLOOKUP($C$47,Data!$B$3:$AB$38,24,FALSE)&amp;"_"&amp;VLOOKUP($C$47,Data!$B$3:$AB$38,10,FALSE)&amp;"_5",Airflow!$B$6:$N$25,5,FALSE)="","",VLOOKUP(VLOOKUP($C$47,Data!$B$3:$AB$38,7,FALSE)&amp;"_"&amp;VLOOKUP($C$47,Data!$B$3:$AB$38,24,FALSE)&amp;"_"&amp;VLOOKUP($C$47,Data!$B$3:$AB$38,10,FALSE)&amp;"_5",Airflow!$B$6:$N$25,5,FALSE)),"")</f>
        <v>2156</v>
      </c>
      <c r="H51" s="85">
        <f>IFERROR(IF(VLOOKUP(VLOOKUP($C$47,Data!$B$3:$AB$38,7,FALSE)&amp;"_"&amp;VLOOKUP($C$47,Data!$B$3:$AB$38,24,FALSE)&amp;"_"&amp;VLOOKUP($C$47,Data!$B$3:$AB$38,10,FALSE)&amp;"_5",Airflow!$B$6:$N$25,6,FALSE)="","",VLOOKUP(VLOOKUP($C$47,Data!$B$3:$AB$38,7,FALSE)&amp;"_"&amp;VLOOKUP($C$47,Data!$B$3:$AB$38,24,FALSE)&amp;"_"&amp;VLOOKUP($C$47,Data!$B$3:$AB$38,10,FALSE)&amp;"_5",Airflow!$B$6:$N$25,6,FALSE)),"")</f>
        <v>2104</v>
      </c>
      <c r="I51" s="85">
        <f>IFERROR(IF(VLOOKUP(VLOOKUP($C$47,Data!$B$3:$AB$38,7,FALSE)&amp;"_"&amp;VLOOKUP($C$47,Data!$B$3:$AB$38,24,FALSE)&amp;"_"&amp;VLOOKUP($C$47,Data!$B$3:$AB$38,10,FALSE)&amp;"_5",Airflow!$B$6:$N$25,7,FALSE)="","",VLOOKUP(VLOOKUP($C$47,Data!$B$3:$AB$38,7,FALSE)&amp;"_"&amp;VLOOKUP($C$47,Data!$B$3:$AB$38,24,FALSE)&amp;"_"&amp;VLOOKUP($C$47,Data!$B$3:$AB$38,10,FALSE)&amp;"_5",Airflow!$B$6:$N$25,7,FALSE)),"")</f>
        <v>2055</v>
      </c>
      <c r="J51" s="85">
        <f>IFERROR(IF(VLOOKUP(VLOOKUP($C$47,Data!$B$3:$AB$38,7,FALSE)&amp;"_"&amp;VLOOKUP($C$47,Data!$B$3:$AB$38,24,FALSE)&amp;"_"&amp;VLOOKUP($C$47,Data!$B$3:$AB$38,10,FALSE)&amp;"_5",Airflow!$B$6:$N$25,8,FALSE)="","",VLOOKUP(VLOOKUP($C$47,Data!$B$3:$AB$38,7,FALSE)&amp;"_"&amp;VLOOKUP($C$47,Data!$B$3:$AB$38,24,FALSE)&amp;"_"&amp;VLOOKUP($C$47,Data!$B$3:$AB$38,10,FALSE)&amp;"_5",Airflow!$B$6:$N$25,8,FALSE)),"")</f>
        <v>2011</v>
      </c>
      <c r="K51" s="85">
        <f>IFERROR(IF(VLOOKUP(VLOOKUP($C$47,Data!$B$3:$AB$38,7,FALSE)&amp;"_"&amp;VLOOKUP($C$47,Data!$B$3:$AB$38,24,FALSE)&amp;"_"&amp;VLOOKUP($C$47,Data!$B$3:$AB$38,10,FALSE)&amp;"_5",Airflow!$B$6:$N$25,9,FALSE)="","",VLOOKUP(VLOOKUP($C$47,Data!$B$3:$AB$38,7,FALSE)&amp;"_"&amp;VLOOKUP($C$47,Data!$B$3:$AB$38,24,FALSE)&amp;"_"&amp;VLOOKUP($C$47,Data!$B$3:$AB$38,10,FALSE)&amp;"_5",Airflow!$B$6:$N$25,9,FALSE)),"")</f>
        <v>1981</v>
      </c>
      <c r="L51" s="85">
        <f>IFERROR(IF(VLOOKUP(VLOOKUP($C$47,Data!$B$3:$AB$38,7,FALSE)&amp;"_"&amp;VLOOKUP($C$47,Data!$B$3:$AB$38,24,FALSE)&amp;"_"&amp;VLOOKUP($C$47,Data!$B$3:$AB$38,10,FALSE)&amp;"_5",Airflow!$B$6:$N$25,10,FALSE)="","",VLOOKUP(VLOOKUP($C$47,Data!$B$3:$AB$38,7,FALSE)&amp;"_"&amp;VLOOKUP($C$47,Data!$B$3:$AB$38,24,FALSE)&amp;"_"&amp;VLOOKUP($C$47,Data!$B$3:$AB$38,10,FALSE)&amp;"_5",Airflow!$B$6:$N$25,10,FALSE)),"")</f>
        <v>1930</v>
      </c>
      <c r="M51" s="85">
        <f>IFERROR(IF(VLOOKUP(VLOOKUP($C$47,Data!$B$3:$AB$38,7,FALSE)&amp;"_"&amp;VLOOKUP($C$47,Data!$B$3:$AB$38,24,FALSE)&amp;"_"&amp;VLOOKUP($C$47,Data!$B$3:$AB$38,10,FALSE)&amp;"_5",Airflow!$B$6:$N$25,11,FALSE)="","",VLOOKUP(VLOOKUP($C$47,Data!$B$3:$AB$38,7,FALSE)&amp;"_"&amp;VLOOKUP($C$47,Data!$B$3:$AB$38,24,FALSE)&amp;"_"&amp;VLOOKUP($C$47,Data!$B$3:$AB$38,10,FALSE)&amp;"_5",Airflow!$B$6:$N$25,11,FALSE)),"")</f>
        <v>1887</v>
      </c>
      <c r="N51" s="85">
        <f>IFERROR(IF(VLOOKUP(VLOOKUP($C$47,Data!$B$3:$AB$38,7,FALSE)&amp;"_"&amp;VLOOKUP($C$47,Data!$B$3:$AB$38,24,FALSE)&amp;"_"&amp;VLOOKUP($C$47,Data!$B$3:$AB$38,10,FALSE)&amp;"_5",Airflow!$B$6:$N$25,12,FALSE)="","",VLOOKUP(VLOOKUP($C$47,Data!$B$3:$AB$38,7,FALSE)&amp;"_"&amp;VLOOKUP($C$47,Data!$B$3:$AB$38,24,FALSE)&amp;"_"&amp;VLOOKUP($C$47,Data!$B$3:$AB$38,10,FALSE)&amp;"_5",Airflow!$B$6:$N$25,12,FALSE)),"")</f>
        <v>1847</v>
      </c>
      <c r="O51" s="85">
        <f>IFERROR(IF(VLOOKUP(VLOOKUP($C$47,Data!$B$3:$AB$38,7,FALSE)&amp;"_"&amp;VLOOKUP($C$47,Data!$B$3:$AB$38,24,FALSE)&amp;"_"&amp;VLOOKUP($C$47,Data!$B$3:$AB$38,10,FALSE)&amp;"_5",Airflow!$B$6:$N$25,13,FALSE)="","",VLOOKUP(VLOOKUP($C$47,Data!$B$3:$AB$38,7,FALSE)&amp;"_"&amp;VLOOKUP($C$47,Data!$B$3:$AB$38,24,FALSE)&amp;"_"&amp;VLOOKUP($C$47,Data!$B$3:$AB$38,10,FALSE)&amp;"_5",Airflow!$B$6:$N$25,13,FALSE)),"")</f>
        <v>1801</v>
      </c>
      <c r="P51" s="135"/>
      <c r="Q51" s="131"/>
      <c r="R51" s="131"/>
      <c r="S51" s="134"/>
      <c r="T51" s="97"/>
      <c r="U51" s="97"/>
      <c r="V51" s="134"/>
      <c r="W51" s="134"/>
      <c r="X51" s="134"/>
      <c r="Y51" s="134"/>
      <c r="Z51" s="134"/>
      <c r="AA51" s="134"/>
    </row>
    <row r="52" spans="1:27" ht="6" customHeight="1">
      <c r="A52" s="67"/>
      <c r="B52" s="91"/>
      <c r="C52" s="67"/>
      <c r="D52" s="67"/>
      <c r="E52" s="67"/>
      <c r="F52" s="67"/>
      <c r="G52" s="67"/>
      <c r="H52" s="67"/>
      <c r="I52" s="67"/>
      <c r="J52" s="67"/>
      <c r="K52" s="67"/>
      <c r="L52" s="67"/>
      <c r="M52" s="67"/>
      <c r="N52" s="67"/>
      <c r="O52" s="67"/>
      <c r="P52" s="135"/>
      <c r="Q52" s="131"/>
      <c r="R52" s="131"/>
      <c r="S52" s="134"/>
      <c r="T52" s="97"/>
      <c r="U52" s="97"/>
      <c r="V52" s="97"/>
      <c r="W52" s="97"/>
      <c r="X52" s="97"/>
      <c r="Y52" s="97"/>
      <c r="Z52" s="97"/>
      <c r="AA52" s="97"/>
    </row>
    <row r="53" spans="1:27" ht="12.75" customHeight="1">
      <c r="A53" s="67"/>
      <c r="B53" s="91"/>
      <c r="C53" s="150" t="str">
        <f>IF(Front!G36= "","","Unit Size")</f>
        <v>Unit Size</v>
      </c>
      <c r="D53" s="150"/>
      <c r="E53" s="84" t="str">
        <f>IF(Front!G36= "","",VLOOKUP(VLOOKUP(Front!G36,Data!$B$3:$X$38,10,FALSE),Airflow!$AW$6:$BF$9,2,FALSE))</f>
        <v>Tap</v>
      </c>
      <c r="F53" s="84">
        <f>IFERROR(IF(VLOOKUP(VLOOKUP(Front!G36,Data!$B$3:$X$38,10,FALSE),Airflow!$AW$6:$BF$9,3,FALSE)= "","",VLOOKUP(VLOOKUP(Front!G36,Data!$B$3:$X$38,10,FALSE),Airflow!$AW$6:$BF$9,3,FALSE)),"")</f>
        <v>0.1</v>
      </c>
      <c r="G53" s="84">
        <f>IFERROR(IF(VLOOKUP(VLOOKUP(Front!G36,Data!$B$3:$X$38,10,FALSE),Airflow!$AW$6:$BF$9,4,FALSE)="","",VLOOKUP(VLOOKUP(Front!G36,Data!$B$3:$X$38,10,FALSE),Airflow!$AW$6:$BF$9,4,FALSE)),"")</f>
        <v>0.2</v>
      </c>
      <c r="H53" s="84">
        <f>IFERROR(IF(VLOOKUP(VLOOKUP(Front!G36,Data!$B$3:$X$38,10,FALSE),Airflow!$AW$6:$BF$9,5,FALSE)= "","",VLOOKUP(VLOOKUP(Front!G36,Data!$B$3:$X$38,10,FALSE),Airflow!$AW$6:$BF$9,5,FALSE)),"")</f>
        <v>0.3</v>
      </c>
      <c r="I53" s="84">
        <f>IFERROR(IF(VLOOKUP(VLOOKUP(Front!G36,Data!$B$3:$X$38,10,FALSE),Airflow!$AW$6:$BF$9,6,FALSE)= "","",VLOOKUP(VLOOKUP(Front!G36,Data!$B$3:$X$38,10,FALSE),Airflow!$AW$6:$BF$9,6,FALSE)),"")</f>
        <v>0.4</v>
      </c>
      <c r="J53" s="84">
        <f>IFERROR(IF(VLOOKUP(VLOOKUP(Front!G36,Data!$B$3:$X$38,10,FALSE),Airflow!$AW$6:$BF$9,7,FALSE)= "","",VLOOKUP(VLOOKUP(Front!G36,Data!$B$3:$X$38,10,FALSE),Airflow!$AW$6:$BF$9,7,FALSE)),"")</f>
        <v>0.5</v>
      </c>
      <c r="K53" s="84">
        <f>IFERROR(IF(VLOOKUP(VLOOKUP(Front!G36,Data!$B$3:$X$38,10,FALSE),Airflow!$AW$6:$BF$9,8,FALSE)= "","",VLOOKUP(VLOOKUP(Front!G36,Data!$B$3:$X$38,10,FALSE),Airflow!$AW$6:$BF$9,8,FALSE)),"")</f>
        <v>0.6</v>
      </c>
      <c r="L53" s="84">
        <f>IFERROR(IF(VLOOKUP(VLOOKUP(Front!G36,Data!$B$3:$X$38,10,FALSE),Airflow!$AW$6:$BF$9,9,FALSE)= "","",VLOOKUP(VLOOKUP(Front!G36,Data!$B$3:$X$38,10,FALSE),Airflow!$AW$6:$BF$9,9,FALSE)),"")</f>
        <v>0.7</v>
      </c>
      <c r="M53" s="84">
        <f>IFERROR(IF(VLOOKUP(VLOOKUP(Front!G36,Data!$B$3:$X$38,10,FALSE),Airflow!$AW$6:$BF$9,10,FALSE)= "","",VLOOKUP(VLOOKUP(Front!G36,Data!$B$3:$X$38,10,FALSE),Airflow!$AW$6:$BF$9,10,FALSE)),"")</f>
        <v>0.8</v>
      </c>
      <c r="N53" s="84">
        <f>IFERROR(IF(VLOOKUP(VLOOKUP(Front!G36,Data!$B$3:$X$38,10,FALSE),Airflow!$AW$6:$BH$9,10,FALSE)= "","",VLOOKUP(VLOOKUP(Front!G36,Data!$B$3:$X$38,10,FALSE),Airflow!$AW$6:$BH$9,11,FALSE)),"")</f>
        <v>0.9</v>
      </c>
      <c r="O53" s="84" t="str">
        <f>IFERROR(IF(VLOOKUP(VLOOKUP(Front!G36,Data!$B$3:$X$38,10,FALSE),Airflow!$AW$6:$BH$9,10,FALSE)= "","",VLOOKUP(VLOOKUP(Front!G36,Data!$B$3:$X$38,10,FALSE),Airflow!$AW$6:$BH$9,12,FALSE)),"")</f>
        <v>1.0</v>
      </c>
      <c r="P53" s="135"/>
      <c r="Q53" s="86"/>
      <c r="R53" s="99"/>
      <c r="S53" s="99"/>
      <c r="T53" s="99"/>
      <c r="U53" s="99"/>
      <c r="V53" s="99"/>
      <c r="W53" s="99"/>
      <c r="X53" s="99"/>
      <c r="Y53" s="99"/>
      <c r="Z53" s="99"/>
      <c r="AA53" s="99"/>
    </row>
    <row r="54" spans="1:27" ht="12.75" customHeight="1">
      <c r="A54" s="67"/>
      <c r="B54" s="91"/>
      <c r="C54" s="150" t="str">
        <f>IF(Front!G36= "","",Front!G36)</f>
        <v>AEFE5D00S1HT2</v>
      </c>
      <c r="D54" s="150"/>
      <c r="E54" s="85">
        <f>IFERROR(IF(VLOOKUP(VLOOKUP($C$54,Data!$B$3:$AB$38,7,FALSE)&amp;"_"&amp;VLOOKUP($C$54,Data!$B$3:$AB$38,24,FALSE)&amp;"_"&amp;VLOOKUP($C$54,Data!$B$3:$AB$38,10,FALSE)&amp;"_1",Airflow!$B$6:$N$25,3,FALSE)="","",VLOOKUP(VLOOKUP($C$54,Data!$B$3:$AB$38,7,FALSE)&amp;"_"&amp;VLOOKUP($C$54,Data!$B$3:$AB$38,24,FALSE)&amp;"_"&amp;VLOOKUP($C$54,Data!$B$3:$AB$38,10,FALSE)&amp;"_1",Airflow!$B$6:$N$25,3,FALSE)),"")</f>
        <v>1</v>
      </c>
      <c r="F54" s="85">
        <f>IFERROR(IF(VLOOKUP(VLOOKUP($C$54,Data!$B$3:$AB$38,7,FALSE)&amp;"_"&amp;VLOOKUP($C$54,Data!$B$3:$AB$38,24,FALSE)&amp;"_"&amp;VLOOKUP($C$54,Data!$B$3:$AB$38,10,FALSE)&amp;"_1",Airflow!$B$6:$N$25,4,FALSE)="","",VLOOKUP(VLOOKUP($C$54,Data!$B$3:$AB$38,7,FALSE)&amp;"_"&amp;VLOOKUP($C$54,Data!$B$3:$AB$38,24,FALSE)&amp;"_"&amp;VLOOKUP($C$54,Data!$B$3:$AB$38,10,FALSE)&amp;"_1",Airflow!$B$6:$N$25,4,FALSE)),"")</f>
        <v>1438</v>
      </c>
      <c r="G54" s="85">
        <f>IFERROR(IF(VLOOKUP(VLOOKUP($C$54,Data!$B$3:$AB$38,7,FALSE)&amp;"_"&amp;VLOOKUP($C$54,Data!$B$3:$AB$38,24,FALSE)&amp;"_"&amp;VLOOKUP($C$54,Data!$B$3:$AB$38,10,FALSE)&amp;"_1",Airflow!$B$6:$N$25,5,FALSE)="","",VLOOKUP(VLOOKUP($C$54,Data!$B$3:$AB$38,7,FALSE)&amp;"_"&amp;VLOOKUP($C$54,Data!$B$3:$AB$38,24,FALSE)&amp;"_"&amp;VLOOKUP($C$54,Data!$B$3:$AB$38,10,FALSE)&amp;"_1",Airflow!$B$6:$N$25,5,FALSE)),"")</f>
        <v>1388</v>
      </c>
      <c r="H54" s="85">
        <f>IFERROR(IF(VLOOKUP(VLOOKUP($C$54,Data!$B$3:$AB$38,7,FALSE)&amp;"_"&amp;VLOOKUP($C$54,Data!$B$3:$AB$38,24,FALSE)&amp;"_"&amp;VLOOKUP($C$54,Data!$B$3:$AB$38,10,FALSE)&amp;"_1",Airflow!$B$6:$N$25,6,FALSE)="","",VLOOKUP(VLOOKUP($C$54,Data!$B$3:$AB$38,7,FALSE)&amp;"_"&amp;VLOOKUP($C$54,Data!$B$3:$AB$38,24,FALSE)&amp;"_"&amp;VLOOKUP($C$54,Data!$B$3:$AB$38,10,FALSE)&amp;"_1",Airflow!$B$6:$N$25,6,FALSE)),"")</f>
        <v>1335</v>
      </c>
      <c r="I54" s="85">
        <f>IFERROR(IF(VLOOKUP(VLOOKUP($C$54,Data!$B$3:$AB$38,7,FALSE)&amp;"_"&amp;VLOOKUP($C$54,Data!$B$3:$AB$38,24,FALSE)&amp;"_"&amp;VLOOKUP($C$54,Data!$B$3:$AB$38,10,FALSE)&amp;"_1",Airflow!$B$6:$N$25,7,FALSE)="","",VLOOKUP(VLOOKUP($C$54,Data!$B$3:$AB$38,7,FALSE)&amp;"_"&amp;VLOOKUP($C$54,Data!$B$3:$AB$38,24,FALSE)&amp;"_"&amp;VLOOKUP($C$54,Data!$B$3:$AB$38,10,FALSE)&amp;"_1",Airflow!$B$6:$N$25,7,FALSE)),"")</f>
        <v>1286</v>
      </c>
      <c r="J54" s="85">
        <f>IFERROR(IF(VLOOKUP(VLOOKUP($C$54,Data!$B$3:$AB$38,7,FALSE)&amp;"_"&amp;VLOOKUP($C$54,Data!$B$3:$AB$38,24,FALSE)&amp;"_"&amp;VLOOKUP($C$54,Data!$B$3:$AB$38,10,FALSE)&amp;"_1",Airflow!$B$6:$N$25,8,FALSE)="","",VLOOKUP(VLOOKUP($C$54,Data!$B$3:$AB$38,7,FALSE)&amp;"_"&amp;VLOOKUP($C$54,Data!$B$3:$AB$38,24,FALSE)&amp;"_"&amp;VLOOKUP($C$54,Data!$B$3:$AB$38,10,FALSE)&amp;"_1",Airflow!$B$6:$N$25,8,FALSE)),"")</f>
        <v>1240</v>
      </c>
      <c r="K54" s="85">
        <f>IFERROR(IF(VLOOKUP(VLOOKUP($C$54,Data!$B$3:$AB$38,7,FALSE)&amp;"_"&amp;VLOOKUP($C$54,Data!$B$3:$AB$38,24,FALSE)&amp;"_"&amp;VLOOKUP($C$54,Data!$B$3:$AB$38,10,FALSE)&amp;"_1",Airflow!$B$6:$N$25,9,FALSE)="","",VLOOKUP(VLOOKUP($C$54,Data!$B$3:$AB$38,7,FALSE)&amp;"_"&amp;VLOOKUP($C$54,Data!$B$3:$AB$38,24,FALSE)&amp;"_"&amp;VLOOKUP($C$54,Data!$B$3:$AB$38,10,FALSE)&amp;"_1",Airflow!$B$6:$N$25,9,FALSE)),"")</f>
        <v>1192</v>
      </c>
      <c r="L54" s="85">
        <f>IFERROR(IF(VLOOKUP(VLOOKUP($C$54,Data!$B$3:$AB$38,7,FALSE)&amp;"_"&amp;VLOOKUP($C$54,Data!$B$3:$AB$38,24,FALSE)&amp;"_"&amp;VLOOKUP($C$54,Data!$B$3:$AB$38,10,FALSE)&amp;"_1",Airflow!$B$6:$N$25,10,FALSE)="","",VLOOKUP(VLOOKUP($C$54,Data!$B$3:$AB$38,7,FALSE)&amp;"_"&amp;VLOOKUP($C$54,Data!$B$3:$AB$38,24,FALSE)&amp;"_"&amp;VLOOKUP($C$54,Data!$B$3:$AB$38,10,FALSE)&amp;"_1",Airflow!$B$6:$N$25,10,FALSE)),"")</f>
        <v>1138</v>
      </c>
      <c r="M54" s="85">
        <f>IFERROR(IF(VLOOKUP(VLOOKUP($C$54,Data!$B$3:$AB$38,7,FALSE)&amp;"_"&amp;VLOOKUP($C$54,Data!$B$3:$AB$38,24,FALSE)&amp;"_"&amp;VLOOKUP($C$54,Data!$B$3:$AB$38,10,FALSE)&amp;"_1",Airflow!$B$6:$N$25,11,FALSE)="","",VLOOKUP(VLOOKUP($C$54,Data!$B$3:$AB$38,7,FALSE)&amp;"_"&amp;VLOOKUP($C$54,Data!$B$3:$AB$38,24,FALSE)&amp;"_"&amp;VLOOKUP($C$54,Data!$B$3:$AB$38,10,FALSE)&amp;"_1",Airflow!$B$6:$N$25,11,FALSE)),"")</f>
        <v>1088</v>
      </c>
      <c r="N54" s="85">
        <f>IFERROR(IF(VLOOKUP(VLOOKUP($C$54,Data!$B$3:$AB$38,7,FALSE)&amp;"_"&amp;VLOOKUP($C$54,Data!$B$3:$AB$38,24,FALSE)&amp;"_"&amp;VLOOKUP($C$54,Data!$B$3:$AB$38,10,FALSE)&amp;"_1",Airflow!$B$6:$N$25,12,FALSE)="","",VLOOKUP(VLOOKUP($C$54,Data!$B$3:$AB$38,7,FALSE)&amp;"_"&amp;VLOOKUP($C$54,Data!$B$3:$AB$38,24,FALSE)&amp;"_"&amp;VLOOKUP($C$54,Data!$B$3:$AB$38,10,FALSE)&amp;"_1",Airflow!$B$6:$N$25,12,FALSE)),"")</f>
        <v>1033</v>
      </c>
      <c r="O54" s="85">
        <f>IFERROR(IF(VLOOKUP(VLOOKUP($C$54,Data!$B$3:$AB$38,7,FALSE)&amp;"_"&amp;VLOOKUP($C$54,Data!$B$3:$AB$38,24,FALSE)&amp;"_"&amp;VLOOKUP($C$54,Data!$B$3:$AB$38,10,FALSE)&amp;"_1",Airflow!$B$6:$N$25,13,FALSE)="","",VLOOKUP(VLOOKUP($C$54,Data!$B$3:$AB$38,7,FALSE)&amp;"_"&amp;VLOOKUP($C$54,Data!$B$3:$AB$38,24,FALSE)&amp;"_"&amp;VLOOKUP($C$54,Data!$B$3:$AB$38,10,FALSE)&amp;"_1",Airflow!$B$6:$N$25,13,FALSE)),"")</f>
        <v>978</v>
      </c>
      <c r="P54" s="135"/>
      <c r="Q54" s="74"/>
      <c r="R54" s="99"/>
      <c r="S54" s="99"/>
      <c r="T54" s="99"/>
      <c r="U54" s="99"/>
      <c r="V54" s="99"/>
      <c r="W54" s="99"/>
      <c r="X54" s="99"/>
      <c r="Y54" s="99"/>
      <c r="Z54" s="99"/>
      <c r="AA54" s="99"/>
    </row>
    <row r="55" spans="1:27" ht="12.75" customHeight="1">
      <c r="A55" s="30"/>
      <c r="B55" s="92"/>
      <c r="C55" s="83"/>
      <c r="D55" s="83"/>
      <c r="E55" s="85">
        <f>IFERROR(IF(VLOOKUP(VLOOKUP($C$54,Data!$B$3:$AB$38,7,FALSE)&amp;"_"&amp;VLOOKUP($C$54,Data!$B$3:$AB$38,24,FALSE)&amp;"_"&amp;VLOOKUP($C$54,Data!$B$3:$AB$38,10,FALSE)&amp;"_3",Airflow!$B$6:$N$25,3,FALSE)="","",VLOOKUP(VLOOKUP($C$54,Data!$B$3:$AB$38,7,FALSE)&amp;"_"&amp;VLOOKUP($C$54,Data!$B$3:$AB$38,24,FALSE)&amp;"_"&amp;VLOOKUP($C$54,Data!$B$3:$AB$38,10,FALSE)&amp;"_2",Airflow!$B$6:$N$25,3,FALSE)),"")</f>
        <v>2</v>
      </c>
      <c r="F55" s="85">
        <f>IFERROR(IF(VLOOKUP(VLOOKUP($C$54,Data!$B$3:$AB$38,7,FALSE)&amp;"_"&amp;VLOOKUP($C$54,Data!$B$3:$AB$38,24,FALSE)&amp;"_"&amp;VLOOKUP($C$54,Data!$B$3:$AB$38,10,FALSE)&amp;"_3",Airflow!$B$6:$N$25,4,FALSE)="","",VLOOKUP(VLOOKUP($C$54,Data!$B$3:$AB$38,7,FALSE)&amp;"_"&amp;VLOOKUP($C$54,Data!$B$3:$AB$38,24,FALSE)&amp;"_"&amp;VLOOKUP($C$54,Data!$B$3:$AB$38,10,FALSE)&amp;"_2",Airflow!$B$6:$N$25,4,FALSE)),"")</f>
        <v>1610</v>
      </c>
      <c r="G55" s="85">
        <f>IFERROR(IF(VLOOKUP(VLOOKUP($C$54,Data!$B$3:$AB$38,7,FALSE)&amp;"_"&amp;VLOOKUP($C$54,Data!$B$3:$AB$38,24,FALSE)&amp;"_"&amp;VLOOKUP($C$54,Data!$B$3:$AB$38,10,FALSE)&amp;"_3",Airflow!$B$6:$N$25,5,FALSE)="","",VLOOKUP(VLOOKUP($C$54,Data!$B$3:$AB$38,7,FALSE)&amp;"_"&amp;VLOOKUP($C$54,Data!$B$3:$AB$38,24,FALSE)&amp;"_"&amp;VLOOKUP($C$54,Data!$B$3:$AB$38,10,FALSE)&amp;"_2",Airflow!$B$6:$N$25,5,FALSE)),"")</f>
        <v>1560</v>
      </c>
      <c r="H55" s="85">
        <f>IFERROR(IF(VLOOKUP(VLOOKUP($C$54,Data!$B$3:$AB$38,7,FALSE)&amp;"_"&amp;VLOOKUP($C$54,Data!$B$3:$AB$38,24,FALSE)&amp;"_"&amp;VLOOKUP($C$54,Data!$B$3:$AB$38,10,FALSE)&amp;"_3",Airflow!$B$6:$N$25,6,FALSE)="","",VLOOKUP(VLOOKUP($C$54,Data!$B$3:$AB$38,7,FALSE)&amp;"_"&amp;VLOOKUP($C$54,Data!$B$3:$AB$38,24,FALSE)&amp;"_"&amp;VLOOKUP($C$54,Data!$B$3:$AB$38,10,FALSE)&amp;"_2",Airflow!$B$6:$N$25,6,FALSE)),"")</f>
        <v>1522</v>
      </c>
      <c r="I55" s="85">
        <f>IFERROR(IF(VLOOKUP(VLOOKUP($C$54,Data!$B$3:$AB$38,7,FALSE)&amp;"_"&amp;VLOOKUP($C$54,Data!$B$3:$AB$38,24,FALSE)&amp;"_"&amp;VLOOKUP($C$54,Data!$B$3:$AB$38,10,FALSE)&amp;"_3",Airflow!$B$6:$N$25,7,FALSE)="","",VLOOKUP(VLOOKUP($C$54,Data!$B$3:$AB$38,7,FALSE)&amp;"_"&amp;VLOOKUP($C$54,Data!$B$3:$AB$38,24,FALSE)&amp;"_"&amp;VLOOKUP($C$54,Data!$B$3:$AB$38,10,FALSE)&amp;"_2",Airflow!$B$6:$N$25,7,FALSE)),"")</f>
        <v>1480</v>
      </c>
      <c r="J55" s="85">
        <f>IFERROR(IF(VLOOKUP(VLOOKUP($C$54,Data!$B$3:$AB$38,7,FALSE)&amp;"_"&amp;VLOOKUP($C$54,Data!$B$3:$AB$38,24,FALSE)&amp;"_"&amp;VLOOKUP($C$54,Data!$B$3:$AB$38,10,FALSE)&amp;"_3",Airflow!$B$6:$N$25,8,FALSE)="","",VLOOKUP(VLOOKUP($C$54,Data!$B$3:$AB$38,7,FALSE)&amp;"_"&amp;VLOOKUP($C$54,Data!$B$3:$AB$38,24,FALSE)&amp;"_"&amp;VLOOKUP($C$54,Data!$B$3:$AB$38,10,FALSE)&amp;"_2",Airflow!$B$6:$N$25,8,FALSE)),"")</f>
        <v>1430</v>
      </c>
      <c r="K55" s="85">
        <f>IFERROR(IF(VLOOKUP(VLOOKUP($C$54,Data!$B$3:$AB$38,7,FALSE)&amp;"_"&amp;VLOOKUP($C$54,Data!$B$3:$AB$38,24,FALSE)&amp;"_"&amp;VLOOKUP($C$54,Data!$B$3:$AB$38,10,FALSE)&amp;"_3",Airflow!$B$6:$N$25,9,FALSE)="","",VLOOKUP(VLOOKUP($C$54,Data!$B$3:$AB$38,7,FALSE)&amp;"_"&amp;VLOOKUP($C$54,Data!$B$3:$AB$38,24,FALSE)&amp;"_"&amp;VLOOKUP($C$54,Data!$B$3:$AB$38,10,FALSE)&amp;"_2",Airflow!$B$6:$N$25,9,FALSE)),"")</f>
        <v>1381</v>
      </c>
      <c r="L55" s="85">
        <f>IFERROR(IF(VLOOKUP(VLOOKUP($C$54,Data!$B$3:$AB$38,7,FALSE)&amp;"_"&amp;VLOOKUP($C$54,Data!$B$3:$AB$38,24,FALSE)&amp;"_"&amp;VLOOKUP($C$54,Data!$B$3:$AB$38,10,FALSE)&amp;"_3",Airflow!$B$6:$N$25,10,FALSE)="","",VLOOKUP(VLOOKUP($C$54,Data!$B$3:$AB$38,7,FALSE)&amp;"_"&amp;VLOOKUP($C$54,Data!$B$3:$AB$38,24,FALSE)&amp;"_"&amp;VLOOKUP($C$54,Data!$B$3:$AB$38,10,FALSE)&amp;"_2",Airflow!$B$6:$N$25,10,FALSE)),"")</f>
        <v>1340</v>
      </c>
      <c r="M55" s="85">
        <f>IFERROR(IF(VLOOKUP(VLOOKUP($C$54,Data!$B$3:$AB$38,7,FALSE)&amp;"_"&amp;VLOOKUP($C$54,Data!$B$3:$AB$38,24,FALSE)&amp;"_"&amp;VLOOKUP($C$54,Data!$B$3:$AB$38,10,FALSE)&amp;"_3",Airflow!$B$6:$N$25,11,FALSE)="","",VLOOKUP(VLOOKUP($C$54,Data!$B$3:$AB$38,7,FALSE)&amp;"_"&amp;VLOOKUP($C$54,Data!$B$3:$AB$38,24,FALSE)&amp;"_"&amp;VLOOKUP($C$54,Data!$B$3:$AB$38,10,FALSE)&amp;"_2",Airflow!$B$6:$N$25,11,FALSE)),"")</f>
        <v>1292</v>
      </c>
      <c r="N55" s="85">
        <f>IFERROR(IF(VLOOKUP(VLOOKUP($C$54,Data!$B$3:$AB$38,7,FALSE)&amp;"_"&amp;VLOOKUP($C$54,Data!$B$3:$AB$38,24,FALSE)&amp;"_"&amp;VLOOKUP($C$54,Data!$B$3:$AB$38,10,FALSE)&amp;"_3",Airflow!$B$6:$N$25,12,FALSE)="","",VLOOKUP(VLOOKUP($C$54,Data!$B$3:$AB$38,7,FALSE)&amp;"_"&amp;VLOOKUP($C$54,Data!$B$3:$AB$38,24,FALSE)&amp;"_"&amp;VLOOKUP($C$54,Data!$B$3:$AB$38,10,FALSE)&amp;"_2",Airflow!$B$6:$N$25,12,FALSE)),"")</f>
        <v>1245</v>
      </c>
      <c r="O55" s="85">
        <f>IFERROR(IF(VLOOKUP(VLOOKUP($C$54,Data!$B$3:$AB$38,7,FALSE)&amp;"_"&amp;VLOOKUP($C$54,Data!$B$3:$AB$38,24,FALSE)&amp;"_"&amp;VLOOKUP($C$54,Data!$B$3:$AB$38,10,FALSE)&amp;"_3",Airflow!$B$6:$N$25,13,FALSE)="","",VLOOKUP(VLOOKUP($C$54,Data!$B$3:$AB$38,7,FALSE)&amp;"_"&amp;VLOOKUP($C$54,Data!$B$3:$AB$38,24,FALSE)&amp;"_"&amp;VLOOKUP($C$54,Data!$B$3:$AB$38,10,FALSE)&amp;"_2",Airflow!$B$6:$N$25,13,FALSE)),"")</f>
        <v>1201</v>
      </c>
      <c r="P55" s="135"/>
      <c r="Q55" s="127"/>
      <c r="R55" s="70"/>
      <c r="S55" s="73"/>
      <c r="T55" s="70"/>
      <c r="U55" s="71"/>
      <c r="V55" s="72"/>
      <c r="W55" s="72"/>
      <c r="X55" s="72"/>
      <c r="Y55" s="72"/>
      <c r="Z55" s="71"/>
      <c r="AA55" s="70"/>
    </row>
    <row r="56" spans="1:27" ht="12.75" customHeight="1">
      <c r="A56" s="69"/>
      <c r="B56" s="93"/>
      <c r="C56" s="83"/>
      <c r="D56" s="83"/>
      <c r="E56" s="85" t="str">
        <f>IFERROR(IF(VLOOKUP(VLOOKUP($C$54,Data!$B$3:$AB$38,7,FALSE)&amp;"_"&amp;VLOOKUP($C$54,Data!$B$3:$AB$38,24,FALSE)&amp;"_"&amp;VLOOKUP($C$54,Data!$B$3:$AB$38,10,FALSE)&amp;"_3",Airflow!$B$6:$N$25,3,FALSE)="","",VLOOKUP(VLOOKUP($C$54,Data!$B$3:$AB$38,7,FALSE)&amp;"_"&amp;VLOOKUP($C$54,Data!$B$3:$AB$38,24,FALSE)&amp;"_"&amp;VLOOKUP($C$54,Data!$B$3:$AB$38,10,FALSE)&amp;"_3",Airflow!$B$6:$N$25,3,FALSE)),"")</f>
        <v>3</v>
      </c>
      <c r="F56" s="85">
        <f>IFERROR(IF(VLOOKUP(VLOOKUP($C$54,Data!$B$3:$AB$38,7,FALSE)&amp;"_"&amp;VLOOKUP($C$54,Data!$B$3:$AB$38,24,FALSE)&amp;"_"&amp;VLOOKUP($C$54,Data!$B$3:$AB$38,10,FALSE)&amp;"_3",Airflow!$B$6:$N$25,4,FALSE)="","",VLOOKUP(VLOOKUP($C$54,Data!$B$3:$AB$38,7,FALSE)&amp;"_"&amp;VLOOKUP($C$54,Data!$B$3:$AB$38,24,FALSE)&amp;"_"&amp;VLOOKUP($C$54,Data!$B$3:$AB$38,10,FALSE)&amp;"_3",Airflow!$B$6:$N$25,4,FALSE)),"")</f>
        <v>1964</v>
      </c>
      <c r="G56" s="85">
        <f>IFERROR(IF(VLOOKUP(VLOOKUP($C$54,Data!$B$3:$AB$38,7,FALSE)&amp;"_"&amp;VLOOKUP($C$54,Data!$B$3:$AB$38,24,FALSE)&amp;"_"&amp;VLOOKUP($C$54,Data!$B$3:$AB$38,10,FALSE)&amp;"_3",Airflow!$B$6:$N$25,5,FALSE)="","",VLOOKUP(VLOOKUP($C$54,Data!$B$3:$AB$38,7,FALSE)&amp;"_"&amp;VLOOKUP($C$54,Data!$B$3:$AB$38,24,FALSE)&amp;"_"&amp;VLOOKUP($C$54,Data!$B$3:$AB$38,10,FALSE)&amp;"_3",Airflow!$B$6:$N$25,5,FALSE)),"")</f>
        <v>1922</v>
      </c>
      <c r="H56" s="85">
        <f>IFERROR(IF(VLOOKUP(VLOOKUP($C$54,Data!$B$3:$AB$38,7,FALSE)&amp;"_"&amp;VLOOKUP($C$54,Data!$B$3:$AB$38,24,FALSE)&amp;"_"&amp;VLOOKUP($C$54,Data!$B$3:$AB$38,10,FALSE)&amp;"_3",Airflow!$B$6:$N$25,6,FALSE)="","",VLOOKUP(VLOOKUP($C$54,Data!$B$3:$AB$38,7,FALSE)&amp;"_"&amp;VLOOKUP($C$54,Data!$B$3:$AB$38,24,FALSE)&amp;"_"&amp;VLOOKUP($C$54,Data!$B$3:$AB$38,10,FALSE)&amp;"_3",Airflow!$B$6:$N$25,6,FALSE)),"")</f>
        <v>1886</v>
      </c>
      <c r="I56" s="85">
        <f>IFERROR(IF(VLOOKUP(VLOOKUP($C$54,Data!$B$3:$AB$38,7,FALSE)&amp;"_"&amp;VLOOKUP($C$54,Data!$B$3:$AB$38,24,FALSE)&amp;"_"&amp;VLOOKUP($C$54,Data!$B$3:$AB$38,10,FALSE)&amp;"_3",Airflow!$B$6:$N$25,7,FALSE)="","",VLOOKUP(VLOOKUP($C$54,Data!$B$3:$AB$38,7,FALSE)&amp;"_"&amp;VLOOKUP($C$54,Data!$B$3:$AB$38,24,FALSE)&amp;"_"&amp;VLOOKUP($C$54,Data!$B$3:$AB$38,10,FALSE)&amp;"_3",Airflow!$B$6:$N$25,7,FALSE)),"")</f>
        <v>1866</v>
      </c>
      <c r="J56" s="85">
        <f>IFERROR(IF(VLOOKUP(VLOOKUP($C$54,Data!$B$3:$AB$38,7,FALSE)&amp;"_"&amp;VLOOKUP($C$54,Data!$B$3:$AB$38,24,FALSE)&amp;"_"&amp;VLOOKUP($C$54,Data!$B$3:$AB$38,10,FALSE)&amp;"_3",Airflow!$B$6:$N$25,8,FALSE)="","",VLOOKUP(VLOOKUP($C$54,Data!$B$3:$AB$38,7,FALSE)&amp;"_"&amp;VLOOKUP($C$54,Data!$B$3:$AB$38,24,FALSE)&amp;"_"&amp;VLOOKUP($C$54,Data!$B$3:$AB$38,10,FALSE)&amp;"_3",Airflow!$B$6:$N$25,8,FALSE)),"")</f>
        <v>1831</v>
      </c>
      <c r="K56" s="85">
        <f>IFERROR(IF(VLOOKUP(VLOOKUP($C$54,Data!$B$3:$AB$38,7,FALSE)&amp;"_"&amp;VLOOKUP($C$54,Data!$B$3:$AB$38,24,FALSE)&amp;"_"&amp;VLOOKUP($C$54,Data!$B$3:$AB$38,10,FALSE)&amp;"_3",Airflow!$B$6:$N$25,9,FALSE)="","",VLOOKUP(VLOOKUP($C$54,Data!$B$3:$AB$38,7,FALSE)&amp;"_"&amp;VLOOKUP($C$54,Data!$B$3:$AB$38,24,FALSE)&amp;"_"&amp;VLOOKUP($C$54,Data!$B$3:$AB$38,10,FALSE)&amp;"_3",Airflow!$B$6:$N$25,9,FALSE)),"")</f>
        <v>1791</v>
      </c>
      <c r="L56" s="85">
        <f>IFERROR(IF(VLOOKUP(VLOOKUP($C$54,Data!$B$3:$AB$38,7,FALSE)&amp;"_"&amp;VLOOKUP($C$54,Data!$B$3:$AB$38,24,FALSE)&amp;"_"&amp;VLOOKUP($C$54,Data!$B$3:$AB$38,10,FALSE)&amp;"_3",Airflow!$B$6:$N$25,10,FALSE)="","",VLOOKUP(VLOOKUP($C$54,Data!$B$3:$AB$38,7,FALSE)&amp;"_"&amp;VLOOKUP($C$54,Data!$B$3:$AB$38,24,FALSE)&amp;"_"&amp;VLOOKUP($C$54,Data!$B$3:$AB$38,10,FALSE)&amp;"_3",Airflow!$B$6:$N$25,10,FALSE)),"")</f>
        <v>1760</v>
      </c>
      <c r="M56" s="85">
        <f>IFERROR(IF(VLOOKUP(VLOOKUP($C$54,Data!$B$3:$AB$38,7,FALSE)&amp;"_"&amp;VLOOKUP($C$54,Data!$B$3:$AB$38,24,FALSE)&amp;"_"&amp;VLOOKUP($C$54,Data!$B$3:$AB$38,10,FALSE)&amp;"_3",Airflow!$B$6:$N$25,11,FALSE)="","",VLOOKUP(VLOOKUP($C$54,Data!$B$3:$AB$38,7,FALSE)&amp;"_"&amp;VLOOKUP($C$54,Data!$B$3:$AB$38,24,FALSE)&amp;"_"&amp;VLOOKUP($C$54,Data!$B$3:$AB$38,10,FALSE)&amp;"_3",Airflow!$B$6:$N$25,11,FALSE)),"")</f>
        <v>1724</v>
      </c>
      <c r="N56" s="85">
        <f>IFERROR(IF(VLOOKUP(VLOOKUP($C$54,Data!$B$3:$AB$38,7,FALSE)&amp;"_"&amp;VLOOKUP($C$54,Data!$B$3:$AB$38,24,FALSE)&amp;"_"&amp;VLOOKUP($C$54,Data!$B$3:$AB$38,10,FALSE)&amp;"_3",Airflow!$B$6:$N$25,12,FALSE)="","",VLOOKUP(VLOOKUP($C$54,Data!$B$3:$AB$38,7,FALSE)&amp;"_"&amp;VLOOKUP($C$54,Data!$B$3:$AB$38,24,FALSE)&amp;"_"&amp;VLOOKUP($C$54,Data!$B$3:$AB$38,10,FALSE)&amp;"_3",Airflow!$B$6:$N$25,12,FALSE)),"")</f>
        <v>1688</v>
      </c>
      <c r="O56" s="85">
        <f>IFERROR(IF(VLOOKUP(VLOOKUP($C$54,Data!$B$3:$AB$38,7,FALSE)&amp;"_"&amp;VLOOKUP($C$54,Data!$B$3:$AB$38,24,FALSE)&amp;"_"&amp;VLOOKUP($C$54,Data!$B$3:$AB$38,10,FALSE)&amp;"_3",Airflow!$B$6:$N$25,13,FALSE)="","",VLOOKUP(VLOOKUP($C$54,Data!$B$3:$AB$38,7,FALSE)&amp;"_"&amp;VLOOKUP($C$54,Data!$B$3:$AB$38,24,FALSE)&amp;"_"&amp;VLOOKUP($C$54,Data!$B$3:$AB$38,10,FALSE)&amp;"_3",Airflow!$B$6:$N$25,13,FALSE)),"")</f>
        <v>1651</v>
      </c>
      <c r="P56" s="135"/>
      <c r="Q56" s="131"/>
      <c r="R56" s="132"/>
      <c r="S56" s="132"/>
      <c r="T56" s="133"/>
      <c r="U56" s="133"/>
      <c r="V56" s="133"/>
      <c r="W56" s="133"/>
      <c r="X56" s="133"/>
      <c r="Y56" s="133"/>
      <c r="Z56" s="133"/>
      <c r="AA56" s="133"/>
    </row>
    <row r="57" spans="1:27" ht="12.75" customHeight="1">
      <c r="A57" s="67"/>
      <c r="B57" s="91"/>
      <c r="C57" s="83"/>
      <c r="D57" s="83"/>
      <c r="E57" s="85" t="str">
        <f>IFERROR(IF(VLOOKUP(VLOOKUP($C$54,Data!$B$3:$AB$38,7,FALSE)&amp;"_"&amp;VLOOKUP($C$54,Data!$B$3:$AB$38,24,FALSE)&amp;"_"&amp;VLOOKUP($C$54,Data!$B$3:$AB$38,10,FALSE)&amp;"_4",Airflow!$B$6:$N$25,3,FALSE)="","",VLOOKUP(VLOOKUP($C$54,Data!$B$3:$AB$38,7,FALSE)&amp;"_"&amp;VLOOKUP($C$54,Data!$B$3:$AB$38,24,FALSE)&amp;"_"&amp;VLOOKUP($C$54,Data!$B$3:$AB$38,10,FALSE)&amp;"_4",Airflow!$B$6:$N$25,3,FALSE)),"")</f>
        <v>4+</v>
      </c>
      <c r="F57" s="85">
        <f>IFERROR(IF(VLOOKUP(VLOOKUP($C$54,Data!$B$3:$AB$38,7,FALSE)&amp;"_"&amp;VLOOKUP($C$54,Data!$B$3:$AB$38,24,FALSE)&amp;"_"&amp;VLOOKUP($C$54,Data!$B$3:$AB$38,10,FALSE)&amp;"_4",Airflow!$B$6:$N$25,4,FALSE)="","",VLOOKUP(VLOOKUP($C$54,Data!$B$3:$AB$38,7,FALSE)&amp;"_"&amp;VLOOKUP($C$54,Data!$B$3:$AB$38,24,FALSE)&amp;"_"&amp;VLOOKUP($C$54,Data!$B$3:$AB$38,10,FALSE)&amp;"_4",Airflow!$B$6:$N$25,4,FALSE)),"")</f>
        <v>1779</v>
      </c>
      <c r="G57" s="85">
        <f>IFERROR(IF(VLOOKUP(VLOOKUP($C$54,Data!$B$3:$AB$38,7,FALSE)&amp;"_"&amp;VLOOKUP($C$54,Data!$B$3:$AB$38,24,FALSE)&amp;"_"&amp;VLOOKUP($C$54,Data!$B$3:$AB$38,10,FALSE)&amp;"_4",Airflow!$B$6:$N$25,5,FALSE)="","",VLOOKUP(VLOOKUP($C$54,Data!$B$3:$AB$38,7,FALSE)&amp;"_"&amp;VLOOKUP($C$54,Data!$B$3:$AB$38,24,FALSE)&amp;"_"&amp;VLOOKUP($C$54,Data!$B$3:$AB$38,10,FALSE)&amp;"_4",Airflow!$B$6:$N$25,5,FALSE)),"")</f>
        <v>1740</v>
      </c>
      <c r="H57" s="85">
        <f>IFERROR(IF(VLOOKUP(VLOOKUP($C$54,Data!$B$3:$AB$38,7,FALSE)&amp;"_"&amp;VLOOKUP($C$54,Data!$B$3:$AB$38,24,FALSE)&amp;"_"&amp;VLOOKUP($C$54,Data!$B$3:$AB$38,10,FALSE)&amp;"_4",Airflow!$B$6:$N$25,6,FALSE)="","",VLOOKUP(VLOOKUP($C$54,Data!$B$3:$AB$38,7,FALSE)&amp;"_"&amp;VLOOKUP($C$54,Data!$B$3:$AB$38,24,FALSE)&amp;"_"&amp;VLOOKUP($C$54,Data!$B$3:$AB$38,10,FALSE)&amp;"_4",Airflow!$B$6:$N$25,6,FALSE)),"")</f>
        <v>1705</v>
      </c>
      <c r="I57" s="85">
        <f>IFERROR(IF(VLOOKUP(VLOOKUP($C$54,Data!$B$3:$AB$38,7,FALSE)&amp;"_"&amp;VLOOKUP($C$54,Data!$B$3:$AB$38,24,FALSE)&amp;"_"&amp;VLOOKUP($C$54,Data!$B$3:$AB$38,10,FALSE)&amp;"_4",Airflow!$B$6:$N$25,7,FALSE)="","",VLOOKUP(VLOOKUP($C$54,Data!$B$3:$AB$38,7,FALSE)&amp;"_"&amp;VLOOKUP($C$54,Data!$B$3:$AB$38,24,FALSE)&amp;"_"&amp;VLOOKUP($C$54,Data!$B$3:$AB$38,10,FALSE)&amp;"_4",Airflow!$B$6:$N$25,7,FALSE)),"")</f>
        <v>1664</v>
      </c>
      <c r="J57" s="85">
        <f>IFERROR(IF(VLOOKUP(VLOOKUP($C$54,Data!$B$3:$AB$38,7,FALSE)&amp;"_"&amp;VLOOKUP($C$54,Data!$B$3:$AB$38,24,FALSE)&amp;"_"&amp;VLOOKUP($C$54,Data!$B$3:$AB$38,10,FALSE)&amp;"_4",Airflow!$B$6:$N$25,8,FALSE)="","",VLOOKUP(VLOOKUP($C$54,Data!$B$3:$AB$38,7,FALSE)&amp;"_"&amp;VLOOKUP($C$54,Data!$B$3:$AB$38,24,FALSE)&amp;"_"&amp;VLOOKUP($C$54,Data!$B$3:$AB$38,10,FALSE)&amp;"_4",Airflow!$B$6:$N$25,8,FALSE)),"")</f>
        <v>1624</v>
      </c>
      <c r="K57" s="85">
        <f>IFERROR(IF(VLOOKUP(VLOOKUP($C$54,Data!$B$3:$AB$38,7,FALSE)&amp;"_"&amp;VLOOKUP($C$54,Data!$B$3:$AB$38,24,FALSE)&amp;"_"&amp;VLOOKUP($C$54,Data!$B$3:$AB$38,10,FALSE)&amp;"_4",Airflow!$B$6:$N$25,9,FALSE)="","",VLOOKUP(VLOOKUP($C$54,Data!$B$3:$AB$38,7,FALSE)&amp;"_"&amp;VLOOKUP($C$54,Data!$B$3:$AB$38,24,FALSE)&amp;"_"&amp;VLOOKUP($C$54,Data!$B$3:$AB$38,10,FALSE)&amp;"_4",Airflow!$B$6:$N$25,9,FALSE)),"")</f>
        <v>1578</v>
      </c>
      <c r="L57" s="85">
        <f>IFERROR(IF(VLOOKUP(VLOOKUP($C$54,Data!$B$3:$AB$38,7,FALSE)&amp;"_"&amp;VLOOKUP($C$54,Data!$B$3:$AB$38,24,FALSE)&amp;"_"&amp;VLOOKUP($C$54,Data!$B$3:$AB$38,10,FALSE)&amp;"_4",Airflow!$B$6:$N$25,10,FALSE)="","",VLOOKUP(VLOOKUP($C$54,Data!$B$3:$AB$38,7,FALSE)&amp;"_"&amp;VLOOKUP($C$54,Data!$B$3:$AB$38,24,FALSE)&amp;"_"&amp;VLOOKUP($C$54,Data!$B$3:$AB$38,10,FALSE)&amp;"_4",Airflow!$B$6:$N$25,10,FALSE)),"")</f>
        <v>1544</v>
      </c>
      <c r="M57" s="85">
        <f>IFERROR(IF(VLOOKUP(VLOOKUP($C$54,Data!$B$3:$AB$38,7,FALSE)&amp;"_"&amp;VLOOKUP($C$54,Data!$B$3:$AB$38,24,FALSE)&amp;"_"&amp;VLOOKUP($C$54,Data!$B$3:$AB$38,10,FALSE)&amp;"_4",Airflow!$B$6:$N$25,11,FALSE)="","",VLOOKUP(VLOOKUP($C$54,Data!$B$3:$AB$38,7,FALSE)&amp;"_"&amp;VLOOKUP($C$54,Data!$B$3:$AB$38,24,FALSE)&amp;"_"&amp;VLOOKUP($C$54,Data!$B$3:$AB$38,10,FALSE)&amp;"_4",Airflow!$B$6:$N$25,11,FALSE)),"")</f>
        <v>1504</v>
      </c>
      <c r="N57" s="85">
        <f>IFERROR(IF(VLOOKUP(VLOOKUP($C$54,Data!$B$3:$AB$38,7,FALSE)&amp;"_"&amp;VLOOKUP($C$54,Data!$B$3:$AB$38,24,FALSE)&amp;"_"&amp;VLOOKUP($C$54,Data!$B$3:$AB$38,10,FALSE)&amp;"_4",Airflow!$B$6:$N$25,12,FALSE)="","",VLOOKUP(VLOOKUP($C$54,Data!$B$3:$AB$38,7,FALSE)&amp;"_"&amp;VLOOKUP($C$54,Data!$B$3:$AB$38,24,FALSE)&amp;"_"&amp;VLOOKUP($C$54,Data!$B$3:$AB$38,10,FALSE)&amp;"_4",Airflow!$B$6:$N$25,12,FALSE)),"")</f>
        <v>1460</v>
      </c>
      <c r="O57" s="85">
        <f>IFERROR(IF(VLOOKUP(VLOOKUP($C$54,Data!$B$3:$AB$38,7,FALSE)&amp;"_"&amp;VLOOKUP($C$54,Data!$B$3:$AB$38,24,FALSE)&amp;"_"&amp;VLOOKUP($C$54,Data!$B$3:$AB$38,10,FALSE)&amp;"_4",Airflow!$B$6:$N$25,13,FALSE)="","",VLOOKUP(VLOOKUP($C$54,Data!$B$3:$AB$38,7,FALSE)&amp;"_"&amp;VLOOKUP($C$54,Data!$B$3:$AB$38,24,FALSE)&amp;"_"&amp;VLOOKUP($C$54,Data!$B$3:$AB$38,10,FALSE)&amp;"_4",Airflow!$B$6:$N$25,13,FALSE)),"")</f>
        <v>1416</v>
      </c>
      <c r="P57" s="135"/>
      <c r="Q57" s="131"/>
      <c r="R57" s="112"/>
      <c r="S57" s="112"/>
      <c r="T57" s="133"/>
      <c r="U57" s="133"/>
      <c r="V57" s="133"/>
      <c r="W57" s="133"/>
      <c r="X57" s="133"/>
      <c r="Y57" s="133"/>
      <c r="Z57" s="133"/>
      <c r="AA57" s="133"/>
    </row>
    <row r="58" spans="1:27" ht="12.75" customHeight="1">
      <c r="A58" s="67"/>
      <c r="B58" s="91"/>
      <c r="C58" s="83"/>
      <c r="D58" s="83"/>
      <c r="E58" s="85" t="str">
        <f>IFERROR(IF(VLOOKUP(VLOOKUP($C$54,Data!$B$3:$AB$38,7,FALSE)&amp;"_"&amp;VLOOKUP($C$54,Data!$B$3:$AB$38,24,FALSE)&amp;"_"&amp;VLOOKUP($C$54,Data!$B$3:$AB$38,10,FALSE)&amp;"_5",Airflow!$B$6:$N$25,3,FALSE)="","",VLOOKUP(VLOOKUP($C$54,Data!$B$3:$AB$38,7,FALSE)&amp;"_"&amp;VLOOKUP($C$54,Data!$B$3:$AB$38,24,FALSE)&amp;"_"&amp;VLOOKUP($C$54,Data!$B$3:$AB$38,10,FALSE)&amp;"_5",Airflow!$B$6:$N$25,3,FALSE)),"")</f>
        <v>5*</v>
      </c>
      <c r="F58" s="85">
        <f>IFERROR(IF(VLOOKUP(VLOOKUP($C$54,Data!$B$3:$AB$38,7,FALSE)&amp;"_"&amp;VLOOKUP($C$54,Data!$B$3:$AB$38,24,FALSE)&amp;"_"&amp;VLOOKUP($C$54,Data!$B$3:$AB$38,10,FALSE)&amp;"_5",Airflow!$B$6:$N$25,4,FALSE)="","",VLOOKUP(VLOOKUP($C$54,Data!$B$3:$AB$38,7,FALSE)&amp;"_"&amp;VLOOKUP($C$54,Data!$B$3:$AB$38,24,FALSE)&amp;"_"&amp;VLOOKUP($C$54,Data!$B$3:$AB$38,10,FALSE)&amp;"_5",Airflow!$B$6:$N$25,4,FALSE)),"")</f>
        <v>2089</v>
      </c>
      <c r="G58" s="85">
        <f>IFERROR(IF(VLOOKUP(VLOOKUP($C$54,Data!$B$3:$AB$38,7,FALSE)&amp;"_"&amp;VLOOKUP($C$54,Data!$B$3:$AB$38,24,FALSE)&amp;"_"&amp;VLOOKUP($C$54,Data!$B$3:$AB$38,10,FALSE)&amp;"_5",Airflow!$B$6:$N$25,5,FALSE)="","",VLOOKUP(VLOOKUP($C$54,Data!$B$3:$AB$38,7,FALSE)&amp;"_"&amp;VLOOKUP($C$54,Data!$B$3:$AB$38,24,FALSE)&amp;"_"&amp;VLOOKUP($C$54,Data!$B$3:$AB$38,10,FALSE)&amp;"_5",Airflow!$B$6:$N$25,5,FALSE)),"")</f>
        <v>2037</v>
      </c>
      <c r="H58" s="85">
        <f>IFERROR(IF(VLOOKUP(VLOOKUP($C$54,Data!$B$3:$AB$38,7,FALSE)&amp;"_"&amp;VLOOKUP($C$54,Data!$B$3:$AB$38,24,FALSE)&amp;"_"&amp;VLOOKUP($C$54,Data!$B$3:$AB$38,10,FALSE)&amp;"_5",Airflow!$B$6:$N$25,6,FALSE)="","",VLOOKUP(VLOOKUP($C$54,Data!$B$3:$AB$38,7,FALSE)&amp;"_"&amp;VLOOKUP($C$54,Data!$B$3:$AB$38,24,FALSE)&amp;"_"&amp;VLOOKUP($C$54,Data!$B$3:$AB$38,10,FALSE)&amp;"_5",Airflow!$B$6:$N$25,6,FALSE)),"")</f>
        <v>1997</v>
      </c>
      <c r="I58" s="85">
        <f>IFERROR(IF(VLOOKUP(VLOOKUP($C$54,Data!$B$3:$AB$38,7,FALSE)&amp;"_"&amp;VLOOKUP($C$54,Data!$B$3:$AB$38,24,FALSE)&amp;"_"&amp;VLOOKUP($C$54,Data!$B$3:$AB$38,10,FALSE)&amp;"_5",Airflow!$B$6:$N$25,7,FALSE)="","",VLOOKUP(VLOOKUP($C$54,Data!$B$3:$AB$38,7,FALSE)&amp;"_"&amp;VLOOKUP($C$54,Data!$B$3:$AB$38,24,FALSE)&amp;"_"&amp;VLOOKUP($C$54,Data!$B$3:$AB$38,10,FALSE)&amp;"_5",Airflow!$B$6:$N$25,7,FALSE)),"")</f>
        <v>1959</v>
      </c>
      <c r="J58" s="85">
        <f>IFERROR(IF(VLOOKUP(VLOOKUP($C$54,Data!$B$3:$AB$38,7,FALSE)&amp;"_"&amp;VLOOKUP($C$54,Data!$B$3:$AB$38,24,FALSE)&amp;"_"&amp;VLOOKUP($C$54,Data!$B$3:$AB$38,10,FALSE)&amp;"_5",Airflow!$B$6:$N$25,8,FALSE)="","",VLOOKUP(VLOOKUP($C$54,Data!$B$3:$AB$38,7,FALSE)&amp;"_"&amp;VLOOKUP($C$54,Data!$B$3:$AB$38,24,FALSE)&amp;"_"&amp;VLOOKUP($C$54,Data!$B$3:$AB$38,10,FALSE)&amp;"_5",Airflow!$B$6:$N$25,8,FALSE)),"")</f>
        <v>1924</v>
      </c>
      <c r="K58" s="85">
        <f>IFERROR(IF(VLOOKUP(VLOOKUP($C$54,Data!$B$3:$AB$38,7,FALSE)&amp;"_"&amp;VLOOKUP($C$54,Data!$B$3:$AB$38,24,FALSE)&amp;"_"&amp;VLOOKUP($C$54,Data!$B$3:$AB$38,10,FALSE)&amp;"_5",Airflow!$B$6:$N$25,9,FALSE)="","",VLOOKUP(VLOOKUP($C$54,Data!$B$3:$AB$38,7,FALSE)&amp;"_"&amp;VLOOKUP($C$54,Data!$B$3:$AB$38,24,FALSE)&amp;"_"&amp;VLOOKUP($C$54,Data!$B$3:$AB$38,10,FALSE)&amp;"_5",Airflow!$B$6:$N$25,9,FALSE)),"")</f>
        <v>1898</v>
      </c>
      <c r="L58" s="85">
        <f>IFERROR(IF(VLOOKUP(VLOOKUP($C$54,Data!$B$3:$AB$38,7,FALSE)&amp;"_"&amp;VLOOKUP($C$54,Data!$B$3:$AB$38,24,FALSE)&amp;"_"&amp;VLOOKUP($C$54,Data!$B$3:$AB$38,10,FALSE)&amp;"_5",Airflow!$B$6:$N$25,10,FALSE)="","",VLOOKUP(VLOOKUP($C$54,Data!$B$3:$AB$38,7,FALSE)&amp;"_"&amp;VLOOKUP($C$54,Data!$B$3:$AB$38,24,FALSE)&amp;"_"&amp;VLOOKUP($C$54,Data!$B$3:$AB$38,10,FALSE)&amp;"_5",Airflow!$B$6:$N$25,10,FALSE)),"")</f>
        <v>1859</v>
      </c>
      <c r="M58" s="85">
        <f>IFERROR(IF(VLOOKUP(VLOOKUP($C$54,Data!$B$3:$AB$38,7,FALSE)&amp;"_"&amp;VLOOKUP($C$54,Data!$B$3:$AB$38,24,FALSE)&amp;"_"&amp;VLOOKUP($C$54,Data!$B$3:$AB$38,10,FALSE)&amp;"_5",Airflow!$B$6:$N$25,11,FALSE)="","",VLOOKUP(VLOOKUP($C$54,Data!$B$3:$AB$38,7,FALSE)&amp;"_"&amp;VLOOKUP($C$54,Data!$B$3:$AB$38,24,FALSE)&amp;"_"&amp;VLOOKUP($C$54,Data!$B$3:$AB$38,10,FALSE)&amp;"_5",Airflow!$B$6:$N$25,11,FALSE)),"")</f>
        <v>1822</v>
      </c>
      <c r="N58" s="85">
        <f>IFERROR(IF(VLOOKUP(VLOOKUP($C$54,Data!$B$3:$AB$38,7,FALSE)&amp;"_"&amp;VLOOKUP($C$54,Data!$B$3:$AB$38,24,FALSE)&amp;"_"&amp;VLOOKUP($C$54,Data!$B$3:$AB$38,10,FALSE)&amp;"_5",Airflow!$B$6:$N$25,12,FALSE)="","",VLOOKUP(VLOOKUP($C$54,Data!$B$3:$AB$38,7,FALSE)&amp;"_"&amp;VLOOKUP($C$54,Data!$B$3:$AB$38,24,FALSE)&amp;"_"&amp;VLOOKUP($C$54,Data!$B$3:$AB$38,10,FALSE)&amp;"_5",Airflow!$B$6:$N$25,12,FALSE)),"")</f>
        <v>1783</v>
      </c>
      <c r="O58" s="85">
        <f>IFERROR(IF(VLOOKUP(VLOOKUP($C$54,Data!$B$3:$AB$38,7,FALSE)&amp;"_"&amp;VLOOKUP($C$54,Data!$B$3:$AB$38,24,FALSE)&amp;"_"&amp;VLOOKUP($C$54,Data!$B$3:$AB$38,10,FALSE)&amp;"_5",Airflow!$B$6:$N$25,13,FALSE)="","",VLOOKUP(VLOOKUP($C$54,Data!$B$3:$AB$38,7,FALSE)&amp;"_"&amp;VLOOKUP($C$54,Data!$B$3:$AB$38,24,FALSE)&amp;"_"&amp;VLOOKUP($C$54,Data!$B$3:$AB$38,10,FALSE)&amp;"_5",Airflow!$B$6:$N$25,13,FALSE)),"")</f>
        <v>1747</v>
      </c>
      <c r="P58" s="135"/>
      <c r="Q58" s="131"/>
      <c r="R58" s="112"/>
      <c r="S58" s="112"/>
      <c r="T58" s="112"/>
      <c r="U58" s="112"/>
      <c r="V58" s="112"/>
      <c r="W58" s="112"/>
      <c r="X58" s="112"/>
      <c r="Y58" s="112"/>
      <c r="Z58" s="112"/>
      <c r="AA58" s="112"/>
    </row>
    <row r="59" spans="1:27" ht="12.75" customHeight="1">
      <c r="A59" s="67"/>
      <c r="B59" s="91"/>
      <c r="C59" s="138" t="s">
        <v>191</v>
      </c>
      <c r="D59" s="67"/>
      <c r="E59" s="67"/>
      <c r="F59" s="67"/>
      <c r="G59" s="67"/>
      <c r="H59" s="67"/>
      <c r="I59" s="67"/>
      <c r="J59" s="67"/>
      <c r="K59" s="67"/>
      <c r="L59" s="67"/>
      <c r="M59" s="67"/>
      <c r="N59" s="67"/>
      <c r="O59" s="74"/>
      <c r="P59" s="136"/>
      <c r="Q59" s="86"/>
      <c r="R59" s="99"/>
      <c r="S59" s="99"/>
      <c r="T59" s="99"/>
      <c r="U59" s="99"/>
      <c r="V59" s="99"/>
      <c r="W59" s="99"/>
      <c r="X59" s="99"/>
      <c r="Y59" s="99"/>
      <c r="Z59" s="99"/>
      <c r="AA59" s="99"/>
    </row>
    <row r="60" spans="1:27" ht="12.75" customHeight="1">
      <c r="A60" s="67"/>
      <c r="B60" s="91"/>
      <c r="C60" s="138" t="s">
        <v>192</v>
      </c>
      <c r="D60" s="67"/>
      <c r="E60" s="67"/>
      <c r="F60" s="67"/>
      <c r="G60" s="67"/>
      <c r="H60" s="67"/>
      <c r="I60" s="67"/>
      <c r="J60" s="67"/>
      <c r="K60" s="67"/>
      <c r="L60" s="67"/>
      <c r="N60" s="67"/>
      <c r="P60" s="125"/>
      <c r="Q60" s="129"/>
      <c r="R60" s="126"/>
      <c r="S60" s="126"/>
      <c r="T60" s="126"/>
      <c r="U60" s="126"/>
      <c r="V60" s="126"/>
      <c r="W60" s="126"/>
      <c r="X60" s="126"/>
      <c r="Y60" s="126"/>
      <c r="Z60" s="126"/>
      <c r="AA60" s="126"/>
    </row>
    <row r="61" spans="1:27" ht="12.75" customHeight="1">
      <c r="A61" s="67"/>
      <c r="B61" s="91"/>
      <c r="C61" s="138" t="s">
        <v>193</v>
      </c>
      <c r="N61" s="67"/>
      <c r="P61" s="125"/>
      <c r="Q61" s="131"/>
      <c r="R61" s="132"/>
      <c r="S61" s="132"/>
      <c r="T61" s="133"/>
      <c r="U61" s="133"/>
      <c r="V61" s="133"/>
      <c r="W61" s="133"/>
      <c r="X61" s="133"/>
      <c r="Y61" s="133"/>
      <c r="Z61" s="133"/>
      <c r="AA61" s="133"/>
    </row>
    <row r="62" spans="1:27" ht="12.75" customHeight="1">
      <c r="A62" s="67"/>
      <c r="B62" s="94"/>
      <c r="C62" s="139" t="s">
        <v>194</v>
      </c>
      <c r="D62" s="87"/>
      <c r="E62" s="87"/>
      <c r="F62" s="87"/>
      <c r="G62" s="87"/>
      <c r="H62" s="87"/>
      <c r="I62" s="87"/>
      <c r="J62" s="87"/>
      <c r="K62" s="87"/>
      <c r="L62" s="87"/>
      <c r="M62" s="87"/>
      <c r="N62" s="100"/>
      <c r="O62" s="87"/>
      <c r="P62" s="130"/>
      <c r="Q62" s="131"/>
      <c r="R62" s="112"/>
      <c r="S62" s="112"/>
      <c r="T62" s="133"/>
      <c r="U62" s="133"/>
      <c r="V62" s="133"/>
      <c r="W62" s="133"/>
      <c r="X62" s="133"/>
      <c r="Y62" s="133"/>
      <c r="Z62" s="133"/>
      <c r="AA62" s="133"/>
    </row>
    <row r="63" spans="1:27" ht="6.75" customHeight="1">
      <c r="A63" s="31"/>
      <c r="B63" s="31"/>
      <c r="D63" s="31"/>
      <c r="E63" s="31"/>
      <c r="F63" s="31"/>
      <c r="G63" s="31"/>
      <c r="H63" s="31"/>
      <c r="I63" s="31"/>
      <c r="J63" s="31"/>
      <c r="Q63" s="86"/>
      <c r="R63" s="99"/>
      <c r="S63" s="99"/>
      <c r="T63" s="99"/>
      <c r="U63" s="99"/>
      <c r="V63" s="99"/>
      <c r="W63" s="99"/>
      <c r="X63" s="99"/>
      <c r="Y63" s="99"/>
      <c r="Z63" s="99"/>
      <c r="AA63" s="99"/>
    </row>
    <row r="64" spans="1:27">
      <c r="S64" s="73"/>
      <c r="T64" s="70"/>
      <c r="U64" s="71"/>
      <c r="V64" s="72"/>
      <c r="W64" s="72"/>
      <c r="X64" s="72"/>
      <c r="Y64" s="72"/>
      <c r="Z64" s="71"/>
      <c r="AA64" s="70"/>
    </row>
    <row r="65" spans="17:27">
      <c r="Q65" s="68"/>
      <c r="S65" s="70"/>
      <c r="T65" s="71"/>
      <c r="U65" s="72"/>
      <c r="V65" s="72"/>
      <c r="W65" s="72"/>
      <c r="X65" s="72"/>
      <c r="Y65" s="71"/>
      <c r="Z65" s="70"/>
    </row>
    <row r="66" spans="17:27">
      <c r="S66" s="95"/>
      <c r="T66" s="95"/>
      <c r="U66" s="95"/>
      <c r="V66" s="96"/>
      <c r="W66" s="96"/>
      <c r="X66" s="96"/>
      <c r="Y66" s="96"/>
      <c r="Z66" s="96"/>
      <c r="AA66" s="96"/>
    </row>
  </sheetData>
  <sheetProtection algorithmName="SHA-512" hashValue="QGtfaVjQPrFwMRkYLOIlF45si0YOrgYyXWHWujnus4wjD6O1SROgk7dR5NQG8MLCQr8lPVKhzRgMtosHnEBk8g==" saltValue="KkwDmxFAUvO7iSCgvETsCQ==" spinCount="100000" sheet="1" objects="1" scenarios="1"/>
  <mergeCells count="53">
    <mergeCell ref="C53:D53"/>
    <mergeCell ref="C33:D33"/>
    <mergeCell ref="C40:D40"/>
    <mergeCell ref="C47:D47"/>
    <mergeCell ref="C54:D54"/>
    <mergeCell ref="C7:D7"/>
    <mergeCell ref="E30:M30"/>
    <mergeCell ref="C32:D32"/>
    <mergeCell ref="C39:D39"/>
    <mergeCell ref="C46:D46"/>
    <mergeCell ref="C6:D6"/>
    <mergeCell ref="E6:G6"/>
    <mergeCell ref="H6:J6"/>
    <mergeCell ref="K6:M6"/>
    <mergeCell ref="N6:P6"/>
    <mergeCell ref="R5:U5"/>
    <mergeCell ref="V5:Y5"/>
    <mergeCell ref="R6:S6"/>
    <mergeCell ref="T6:U6"/>
    <mergeCell ref="V6:W6"/>
    <mergeCell ref="X6:Y6"/>
    <mergeCell ref="R8:S8"/>
    <mergeCell ref="T8:U8"/>
    <mergeCell ref="V7:W7"/>
    <mergeCell ref="X7:Y7"/>
    <mergeCell ref="V8:W8"/>
    <mergeCell ref="X8:Y8"/>
    <mergeCell ref="R7:S7"/>
    <mergeCell ref="T7:U7"/>
    <mergeCell ref="T9:U9"/>
    <mergeCell ref="V9:W9"/>
    <mergeCell ref="X9:Y9"/>
    <mergeCell ref="R10:S10"/>
    <mergeCell ref="T10:U10"/>
    <mergeCell ref="V10:W10"/>
    <mergeCell ref="X10:Y10"/>
    <mergeCell ref="R9:S9"/>
    <mergeCell ref="C5:M5"/>
    <mergeCell ref="E7:G7"/>
    <mergeCell ref="E8:G8"/>
    <mergeCell ref="E9:G9"/>
    <mergeCell ref="E10:G10"/>
    <mergeCell ref="H10:J10"/>
    <mergeCell ref="H9:J9"/>
    <mergeCell ref="H8:J8"/>
    <mergeCell ref="H7:J7"/>
    <mergeCell ref="K7:M7"/>
    <mergeCell ref="K8:M8"/>
    <mergeCell ref="K9:M9"/>
    <mergeCell ref="K10:M10"/>
    <mergeCell ref="C8:D8"/>
    <mergeCell ref="C9:D9"/>
    <mergeCell ref="C10:D10"/>
  </mergeCells>
  <conditionalFormatting sqref="C32:D32">
    <cfRule type="expression" dxfId="28" priority="148">
      <formula>OR(C32&lt;&gt;"",D32&lt;&gt;"")</formula>
    </cfRule>
  </conditionalFormatting>
  <conditionalFormatting sqref="C33:D33">
    <cfRule type="expression" dxfId="27" priority="131">
      <formula>C33&lt;&gt;""</formula>
    </cfRule>
  </conditionalFormatting>
  <conditionalFormatting sqref="C39:D39">
    <cfRule type="expression" dxfId="26" priority="130">
      <formula>OR(C39&lt;&gt;"",D39&lt;&gt;"")</formula>
    </cfRule>
  </conditionalFormatting>
  <conditionalFormatting sqref="C40:D40">
    <cfRule type="expression" dxfId="25" priority="132">
      <formula>C40&lt;&gt;""</formula>
    </cfRule>
  </conditionalFormatting>
  <conditionalFormatting sqref="C46:D46">
    <cfRule type="expression" dxfId="24" priority="129">
      <formula>OR(C46&lt;&gt;"",D46&lt;&gt;"")</formula>
    </cfRule>
  </conditionalFormatting>
  <conditionalFormatting sqref="C47:D47">
    <cfRule type="expression" dxfId="23" priority="133">
      <formula>C47&lt;&gt;""</formula>
    </cfRule>
  </conditionalFormatting>
  <conditionalFormatting sqref="C53:D53">
    <cfRule type="expression" dxfId="22" priority="128">
      <formula>OR(C53&lt;&gt;"",D53&lt;&gt;"")</formula>
    </cfRule>
  </conditionalFormatting>
  <conditionalFormatting sqref="C54:D54">
    <cfRule type="expression" dxfId="21" priority="143">
      <formula>C54&lt;&gt;""</formula>
    </cfRule>
  </conditionalFormatting>
  <conditionalFormatting sqref="C7:Z10">
    <cfRule type="expression" dxfId="20" priority="9">
      <formula>C7&lt;&gt;""</formula>
    </cfRule>
  </conditionalFormatting>
  <conditionalFormatting sqref="E32:O37">
    <cfRule type="expression" dxfId="19" priority="7">
      <formula>E32&lt;&gt;""</formula>
    </cfRule>
  </conditionalFormatting>
  <conditionalFormatting sqref="E39:O44">
    <cfRule type="expression" dxfId="18" priority="5">
      <formula>E39&lt;&gt;""</formula>
    </cfRule>
  </conditionalFormatting>
  <conditionalFormatting sqref="E46:O51">
    <cfRule type="expression" dxfId="17" priority="3">
      <formula>E46&lt;&gt;""</formula>
    </cfRule>
  </conditionalFormatting>
  <conditionalFormatting sqref="E53:O58">
    <cfRule type="expression" dxfId="16" priority="1">
      <formula>E53&lt;&gt;""</formula>
    </cfRule>
  </conditionalFormatting>
  <conditionalFormatting sqref="Q35">
    <cfRule type="expression" dxfId="15" priority="127">
      <formula>Q35&lt;&gt;""</formula>
    </cfRule>
  </conditionalFormatting>
  <conditionalFormatting sqref="Q41">
    <cfRule type="expression" dxfId="14" priority="122">
      <formula>Q41&lt;&gt;""</formula>
    </cfRule>
  </conditionalFormatting>
  <conditionalFormatting sqref="Q47">
    <cfRule type="expression" dxfId="13" priority="121">
      <formula>Q47&lt;&gt;""</formula>
    </cfRule>
  </conditionalFormatting>
  <conditionalFormatting sqref="Q53">
    <cfRule type="expression" dxfId="12" priority="120">
      <formula>Q53&lt;&gt;""</formula>
    </cfRule>
  </conditionalFormatting>
  <conditionalFormatting sqref="Q32:AA34">
    <cfRule type="expression" dxfId="11" priority="75">
      <formula>Q32&lt;&gt;""</formula>
    </cfRule>
  </conditionalFormatting>
  <conditionalFormatting sqref="Q38:AA40">
    <cfRule type="expression" dxfId="10" priority="72">
      <formula>Q38&lt;&gt;""</formula>
    </cfRule>
  </conditionalFormatting>
  <conditionalFormatting sqref="Q44:AA46">
    <cfRule type="expression" dxfId="9" priority="60">
      <formula>Q44&lt;&gt;""</formula>
    </cfRule>
  </conditionalFormatting>
  <conditionalFormatting sqref="Q50:AA52">
    <cfRule type="expression" dxfId="8" priority="59">
      <formula>Q50&lt;&gt;""</formula>
    </cfRule>
  </conditionalFormatting>
  <conditionalFormatting sqref="Q56:AA58">
    <cfRule type="expression" dxfId="7" priority="38">
      <formula>Q56&lt;&gt;""</formula>
    </cfRule>
  </conditionalFormatting>
  <conditionalFormatting sqref="Q59:AA59">
    <cfRule type="expression" dxfId="6" priority="118">
      <formula>Q59&lt;&gt;""</formula>
    </cfRule>
  </conditionalFormatting>
  <conditionalFormatting sqref="Q61:AA62">
    <cfRule type="expression" dxfId="5" priority="37">
      <formula>Q61&lt;&gt;""</formula>
    </cfRule>
  </conditionalFormatting>
  <conditionalFormatting sqref="Q63:AA63">
    <cfRule type="expression" dxfId="4" priority="116">
      <formula>Q63&lt;&gt;""</formula>
    </cfRule>
  </conditionalFormatting>
  <conditionalFormatting sqref="R35:AA36">
    <cfRule type="expression" dxfId="3" priority="126">
      <formula>R35&lt;&gt;""</formula>
    </cfRule>
  </conditionalFormatting>
  <conditionalFormatting sqref="R41:AA42">
    <cfRule type="expression" dxfId="2" priority="125">
      <formula>R41&lt;&gt;""</formula>
    </cfRule>
  </conditionalFormatting>
  <conditionalFormatting sqref="R47:AA48">
    <cfRule type="expression" dxfId="1" priority="124">
      <formula>R47&lt;&gt;""</formula>
    </cfRule>
  </conditionalFormatting>
  <conditionalFormatting sqref="R53:AA54">
    <cfRule type="expression" dxfId="0" priority="123">
      <formula>R53&lt;&gt;""</formula>
    </cfRule>
  </conditionalFormatting>
  <printOptions horizontalCentered="1"/>
  <pageMargins left="0.2" right="0.2" top="0.25" bottom="0.25" header="0.3" footer="0.3"/>
  <pageSetup scale="9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52905-C947-4AB8-BDAB-5158AFD5EA12}">
  <sheetPr codeName="Sheet4"/>
  <dimension ref="D3:AE14"/>
  <sheetViews>
    <sheetView showGridLines="0" workbookViewId="0">
      <selection activeCell="Z19" sqref="Z19"/>
    </sheetView>
  </sheetViews>
  <sheetFormatPr defaultRowHeight="13.2"/>
  <cols>
    <col min="4" max="7" width="1.6640625" style="35" customWidth="1"/>
    <col min="8" max="8" width="2.44140625" style="35" customWidth="1"/>
    <col min="9" max="10" width="1.6640625" style="35" customWidth="1"/>
    <col min="13" max="13" width="6.109375" customWidth="1"/>
    <col min="14" max="14" width="2.88671875" customWidth="1"/>
    <col min="15" max="15" width="19.33203125" customWidth="1"/>
    <col min="16" max="16" width="3.109375" customWidth="1"/>
    <col min="17" max="17" width="20.5546875" customWidth="1"/>
    <col min="18" max="18" width="3" customWidth="1"/>
    <col min="19" max="19" width="5.88671875" customWidth="1"/>
    <col min="20" max="20" width="3.33203125" customWidth="1"/>
    <col min="21" max="21" width="8.6640625" customWidth="1"/>
    <col min="22" max="22" width="15.33203125" customWidth="1"/>
    <col min="23" max="23" width="2.109375" customWidth="1"/>
    <col min="24" max="24" width="17.109375" customWidth="1"/>
    <col min="25" max="25" width="2.109375" customWidth="1"/>
    <col min="26" max="26" width="11.109375" customWidth="1"/>
    <col min="27" max="27" width="3" bestFit="1" customWidth="1"/>
    <col min="28" max="28" width="21.109375" customWidth="1"/>
    <col min="29" max="29" width="2.109375" customWidth="1"/>
    <col min="30" max="30" width="6.5546875" customWidth="1"/>
  </cols>
  <sheetData>
    <row r="3" spans="4:31">
      <c r="M3" s="55" t="s">
        <v>68</v>
      </c>
      <c r="N3" s="160" t="s">
        <v>69</v>
      </c>
      <c r="O3" s="160"/>
      <c r="P3" s="160">
        <v>3</v>
      </c>
      <c r="Q3" s="160"/>
      <c r="R3" s="160" t="s">
        <v>26</v>
      </c>
      <c r="S3" s="160"/>
      <c r="T3" s="161" t="s">
        <v>82</v>
      </c>
      <c r="U3" s="161"/>
      <c r="V3" s="110" t="s">
        <v>25</v>
      </c>
      <c r="W3" s="160">
        <v>1</v>
      </c>
      <c r="X3" s="160"/>
      <c r="Y3" s="160" t="s">
        <v>85</v>
      </c>
      <c r="Z3" s="160"/>
      <c r="AA3" s="160" t="s">
        <v>85</v>
      </c>
      <c r="AB3" s="160"/>
      <c r="AC3" s="160">
        <v>2</v>
      </c>
      <c r="AD3" s="160"/>
    </row>
    <row r="4" spans="4:31" ht="33" customHeight="1">
      <c r="D4"/>
      <c r="E4" s="156"/>
      <c r="F4" s="156"/>
      <c r="G4" s="156"/>
      <c r="H4" s="156"/>
      <c r="I4" s="157"/>
      <c r="J4" s="157"/>
      <c r="M4" s="54" t="s">
        <v>31</v>
      </c>
      <c r="N4" s="158" t="s">
        <v>32</v>
      </c>
      <c r="O4" s="159"/>
      <c r="P4" s="162" t="s">
        <v>70</v>
      </c>
      <c r="Q4" s="162"/>
      <c r="R4" s="163" t="s">
        <v>75</v>
      </c>
      <c r="S4" s="164"/>
      <c r="T4" s="158" t="s">
        <v>30</v>
      </c>
      <c r="U4" s="159"/>
      <c r="V4" s="111" t="s">
        <v>35</v>
      </c>
      <c r="W4" s="162" t="s">
        <v>36</v>
      </c>
      <c r="X4" s="162"/>
      <c r="Y4" s="163" t="s">
        <v>86</v>
      </c>
      <c r="Z4" s="165" t="s">
        <v>27</v>
      </c>
      <c r="AA4" s="158" t="s">
        <v>87</v>
      </c>
      <c r="AB4" s="159" t="s">
        <v>27</v>
      </c>
      <c r="AC4" s="158" t="s">
        <v>27</v>
      </c>
      <c r="AD4" s="159" t="s">
        <v>27</v>
      </c>
      <c r="AE4" s="53"/>
    </row>
    <row r="5" spans="4:31" ht="13.5" customHeight="1">
      <c r="D5" s="40"/>
      <c r="E5" s="40"/>
      <c r="F5" s="40"/>
      <c r="G5" s="40"/>
      <c r="H5" s="40"/>
      <c r="I5" s="41"/>
      <c r="J5" s="41"/>
      <c r="M5" s="46" t="s">
        <v>68</v>
      </c>
      <c r="N5" s="46" t="s">
        <v>38</v>
      </c>
      <c r="O5" s="47" t="s">
        <v>84</v>
      </c>
      <c r="P5" s="114" t="s">
        <v>40</v>
      </c>
      <c r="Q5" s="113" t="s">
        <v>71</v>
      </c>
      <c r="R5" s="48" t="s">
        <v>63</v>
      </c>
      <c r="S5" s="49" t="s">
        <v>77</v>
      </c>
      <c r="T5" s="51" t="s">
        <v>44</v>
      </c>
      <c r="U5" s="115" t="s">
        <v>83</v>
      </c>
      <c r="V5" s="50" t="s">
        <v>88</v>
      </c>
      <c r="W5" s="51" t="s">
        <v>39</v>
      </c>
      <c r="X5" s="47" t="s">
        <v>81</v>
      </c>
      <c r="Y5" s="51" t="s">
        <v>89</v>
      </c>
      <c r="Z5" s="47" t="s">
        <v>90</v>
      </c>
      <c r="AA5" s="51" t="s">
        <v>89</v>
      </c>
      <c r="AB5" s="47" t="s">
        <v>90</v>
      </c>
      <c r="AC5" s="50"/>
      <c r="AD5" s="58"/>
    </row>
    <row r="6" spans="4:31" ht="13.5" customHeight="1">
      <c r="D6" s="40"/>
      <c r="E6" s="40"/>
      <c r="F6" s="40"/>
      <c r="G6" s="40"/>
      <c r="H6" s="40"/>
      <c r="I6" s="41"/>
      <c r="J6" s="42"/>
      <c r="M6" s="44"/>
      <c r="N6" s="46"/>
      <c r="O6" s="47"/>
      <c r="P6" s="114" t="s">
        <v>41</v>
      </c>
      <c r="Q6" s="113" t="s">
        <v>73</v>
      </c>
      <c r="R6" s="48" t="s">
        <v>64</v>
      </c>
      <c r="S6" s="47" t="s">
        <v>78</v>
      </c>
      <c r="T6" s="51"/>
      <c r="U6" s="115"/>
      <c r="V6" s="47"/>
      <c r="W6" s="51"/>
      <c r="X6" s="47"/>
      <c r="Y6" s="50"/>
      <c r="Z6" s="58"/>
      <c r="AA6" s="51" t="s">
        <v>91</v>
      </c>
      <c r="AB6" s="47" t="s">
        <v>99</v>
      </c>
      <c r="AC6" s="50"/>
      <c r="AD6" s="58"/>
    </row>
    <row r="7" spans="4:31" ht="13.5" customHeight="1">
      <c r="D7" s="40"/>
      <c r="E7" s="40"/>
      <c r="F7" s="40"/>
      <c r="G7" s="40"/>
      <c r="H7" s="40"/>
      <c r="I7" s="32"/>
      <c r="J7" s="32"/>
      <c r="M7" s="45"/>
      <c r="N7" s="45"/>
      <c r="P7" s="114" t="s">
        <v>72</v>
      </c>
      <c r="Q7" s="113" t="s">
        <v>74</v>
      </c>
      <c r="R7" s="48" t="s">
        <v>37</v>
      </c>
      <c r="S7" s="47" t="s">
        <v>79</v>
      </c>
      <c r="T7" s="51"/>
      <c r="U7" s="115"/>
      <c r="V7" s="47"/>
      <c r="W7" s="51"/>
      <c r="X7" s="47"/>
      <c r="Y7" s="50"/>
      <c r="Z7" s="58"/>
      <c r="AA7" s="51" t="s">
        <v>92</v>
      </c>
      <c r="AB7" s="47" t="s">
        <v>100</v>
      </c>
      <c r="AC7" s="50"/>
      <c r="AD7" s="58"/>
    </row>
    <row r="8" spans="4:31">
      <c r="D8" s="43"/>
      <c r="E8" s="43"/>
      <c r="F8" s="43"/>
      <c r="G8" s="43"/>
      <c r="H8" s="43"/>
      <c r="I8" s="32"/>
      <c r="J8" s="32"/>
      <c r="M8" s="52"/>
      <c r="N8" s="45"/>
      <c r="O8" s="58"/>
      <c r="P8" s="45"/>
      <c r="Q8" s="58"/>
      <c r="R8" s="48" t="s">
        <v>76</v>
      </c>
      <c r="S8" s="47" t="s">
        <v>80</v>
      </c>
      <c r="T8" s="51"/>
      <c r="U8" s="115"/>
      <c r="V8" s="47"/>
      <c r="W8" s="51"/>
      <c r="X8" s="47"/>
      <c r="Y8" s="50"/>
      <c r="Z8" s="58"/>
      <c r="AA8" s="51" t="s">
        <v>93</v>
      </c>
      <c r="AB8" s="47" t="s">
        <v>101</v>
      </c>
      <c r="AC8" s="50"/>
      <c r="AD8" s="58"/>
    </row>
    <row r="9" spans="4:31">
      <c r="D9" s="43"/>
      <c r="E9" s="34"/>
      <c r="F9" s="37"/>
      <c r="G9" s="36"/>
      <c r="H9" s="36"/>
      <c r="I9" s="36"/>
      <c r="J9" s="36"/>
      <c r="M9" s="52"/>
      <c r="N9" s="45"/>
      <c r="O9" s="58"/>
      <c r="P9" s="45"/>
      <c r="Q9" s="58"/>
      <c r="R9" s="45"/>
      <c r="T9" s="51"/>
      <c r="U9" s="115"/>
      <c r="V9" s="47"/>
      <c r="W9" s="45"/>
      <c r="Y9" s="45"/>
      <c r="Z9" s="58"/>
      <c r="AA9" s="51" t="s">
        <v>94</v>
      </c>
      <c r="AB9" s="47" t="s">
        <v>102</v>
      </c>
      <c r="AC9" s="45"/>
      <c r="AD9" s="58"/>
    </row>
    <row r="10" spans="4:31">
      <c r="D10" s="43"/>
      <c r="E10" s="38"/>
      <c r="F10" s="33"/>
      <c r="G10" s="32"/>
      <c r="H10" s="32"/>
      <c r="I10" s="32"/>
      <c r="J10" s="32"/>
      <c r="M10" s="52"/>
      <c r="O10" s="58"/>
      <c r="Q10" s="58"/>
      <c r="S10" s="58"/>
      <c r="T10" s="116"/>
      <c r="U10" s="115"/>
      <c r="V10" s="117"/>
      <c r="X10" s="58"/>
      <c r="Z10" s="58"/>
      <c r="AA10" s="51" t="s">
        <v>95</v>
      </c>
      <c r="AB10" s="115" t="s">
        <v>103</v>
      </c>
      <c r="AD10" s="58"/>
    </row>
    <row r="11" spans="4:31">
      <c r="D11" s="43"/>
      <c r="E11" s="38"/>
      <c r="F11" s="33"/>
      <c r="G11" s="32"/>
      <c r="H11" s="32"/>
      <c r="I11" s="32"/>
      <c r="J11" s="32"/>
      <c r="L11" s="58"/>
      <c r="M11" s="58"/>
      <c r="O11" s="58"/>
      <c r="Q11" s="58"/>
      <c r="S11" s="58"/>
      <c r="U11" s="58"/>
      <c r="V11" s="52"/>
      <c r="X11" s="58"/>
      <c r="AA11" s="51" t="s">
        <v>96</v>
      </c>
      <c r="AB11" s="115" t="s">
        <v>104</v>
      </c>
      <c r="AD11" s="58"/>
    </row>
    <row r="12" spans="4:31">
      <c r="D12" s="43"/>
      <c r="E12" s="38"/>
      <c r="F12" s="33"/>
      <c r="G12" s="32"/>
      <c r="H12" s="32"/>
      <c r="I12" s="32"/>
      <c r="J12" s="32"/>
      <c r="L12" s="58"/>
      <c r="M12" s="58"/>
      <c r="O12" s="58"/>
      <c r="Q12" s="58"/>
      <c r="S12" s="58"/>
      <c r="U12" s="58"/>
      <c r="V12" s="52"/>
      <c r="X12" s="58"/>
      <c r="AA12" s="51" t="s">
        <v>97</v>
      </c>
      <c r="AB12" s="115" t="s">
        <v>105</v>
      </c>
      <c r="AD12" s="58"/>
    </row>
    <row r="13" spans="4:31" ht="26.4">
      <c r="D13"/>
      <c r="E13" s="38"/>
      <c r="F13" s="33"/>
      <c r="G13" s="32"/>
      <c r="H13" s="32"/>
      <c r="I13" s="32"/>
      <c r="J13" s="32"/>
      <c r="L13" s="58"/>
      <c r="M13" s="58"/>
      <c r="O13" s="58"/>
      <c r="Q13" s="58"/>
      <c r="S13" s="58"/>
      <c r="U13" s="58"/>
      <c r="V13" s="52"/>
      <c r="X13" s="58"/>
      <c r="AA13" s="51" t="s">
        <v>98</v>
      </c>
      <c r="AB13" s="115" t="s">
        <v>106</v>
      </c>
      <c r="AD13" s="58"/>
    </row>
    <row r="14" spans="4:31">
      <c r="D14" s="39"/>
      <c r="E14" s="39"/>
      <c r="F14" s="39"/>
      <c r="G14" s="39"/>
      <c r="H14" s="39"/>
      <c r="I14" s="39"/>
      <c r="J14" s="39"/>
    </row>
  </sheetData>
  <sheetProtection algorithmName="SHA-512" hashValue="/k4Q/fXtQhpT8uZs0c09uQFqXGouZGDugykPbqUXYiDmRhfgMV5gwFwROVpzaRLf0T7LMbU3U8iH54qlBM/e8g==" saltValue="sHSFvoqUHPirovXvKo9XDA==" spinCount="100000" sheet="1" objects="1" scenarios="1"/>
  <mergeCells count="19">
    <mergeCell ref="AA4:AB4"/>
    <mergeCell ref="Y3:Z3"/>
    <mergeCell ref="Y4:Z4"/>
    <mergeCell ref="E4:F4"/>
    <mergeCell ref="G4:H4"/>
    <mergeCell ref="I4:J4"/>
    <mergeCell ref="AC4:AD4"/>
    <mergeCell ref="AC3:AD3"/>
    <mergeCell ref="T3:U3"/>
    <mergeCell ref="T4:U4"/>
    <mergeCell ref="W3:X3"/>
    <mergeCell ref="W4:X4"/>
    <mergeCell ref="R3:S3"/>
    <mergeCell ref="R4:S4"/>
    <mergeCell ref="N3:O3"/>
    <mergeCell ref="N4:O4"/>
    <mergeCell ref="P3:Q3"/>
    <mergeCell ref="P4:Q4"/>
    <mergeCell ref="AA3:AB3"/>
  </mergeCells>
  <pageMargins left="0.7" right="0.7" top="0.75" bottom="0.75" header="0.3" footer="0.3"/>
  <ignoredErrors>
    <ignoredError sqref="T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FED65-2B23-419C-96FE-B4EEB721971C}">
  <sheetPr codeName="Sheet5"/>
  <dimension ref="B1:AA38"/>
  <sheetViews>
    <sheetView topLeftCell="P1" workbookViewId="0">
      <selection activeCell="B37" sqref="B37"/>
    </sheetView>
  </sheetViews>
  <sheetFormatPr defaultRowHeight="13.2"/>
  <cols>
    <col min="2" max="2" width="17.6640625" bestFit="1" customWidth="1"/>
    <col min="3" max="3" width="9.5546875" bestFit="1" customWidth="1"/>
    <col min="4" max="4" width="19.44140625" bestFit="1" customWidth="1"/>
    <col min="5" max="5" width="17.109375" bestFit="1" customWidth="1"/>
    <col min="6" max="6" width="11" bestFit="1" customWidth="1"/>
    <col min="7" max="7" width="18.44140625" bestFit="1" customWidth="1"/>
    <col min="8" max="8" width="10.5546875" bestFit="1" customWidth="1"/>
    <col min="9" max="9" width="26.88671875" bestFit="1" customWidth="1"/>
    <col min="10" max="10" width="14.88671875" bestFit="1" customWidth="1"/>
    <col min="11" max="11" width="28.33203125" bestFit="1" customWidth="1"/>
    <col min="12" max="12" width="10.6640625" bestFit="1" customWidth="1"/>
    <col min="13" max="13" width="25.5546875" bestFit="1" customWidth="1"/>
    <col min="14" max="14" width="32.33203125" bestFit="1" customWidth="1"/>
    <col min="15" max="15" width="23.5546875" bestFit="1" customWidth="1"/>
    <col min="16" max="16" width="18.5546875" bestFit="1" customWidth="1"/>
    <col min="17" max="17" width="13.44140625" bestFit="1" customWidth="1"/>
    <col min="18" max="18" width="20.44140625" bestFit="1" customWidth="1"/>
    <col min="19" max="19" width="20.88671875" bestFit="1" customWidth="1"/>
    <col min="20" max="20" width="34.6640625" bestFit="1" customWidth="1"/>
    <col min="21" max="21" width="24.5546875" bestFit="1" customWidth="1"/>
    <col min="22" max="22" width="29.88671875" bestFit="1" customWidth="1"/>
    <col min="23" max="23" width="28.44140625" bestFit="1" customWidth="1"/>
    <col min="24" max="24" width="36.33203125" bestFit="1" customWidth="1"/>
    <col min="25" max="25" width="14.6640625" bestFit="1" customWidth="1"/>
    <col min="26" max="26" width="11.5546875" bestFit="1" customWidth="1"/>
    <col min="27" max="27" width="22" bestFit="1" customWidth="1"/>
  </cols>
  <sheetData>
    <row r="1" spans="2:27">
      <c r="B1">
        <v>1</v>
      </c>
      <c r="C1">
        <v>2</v>
      </c>
      <c r="D1">
        <v>3</v>
      </c>
      <c r="E1">
        <v>4</v>
      </c>
      <c r="F1">
        <v>5</v>
      </c>
      <c r="G1">
        <v>6</v>
      </c>
      <c r="H1">
        <v>7</v>
      </c>
      <c r="I1">
        <v>8</v>
      </c>
      <c r="J1">
        <v>9</v>
      </c>
      <c r="K1">
        <v>10</v>
      </c>
      <c r="L1">
        <v>11</v>
      </c>
      <c r="M1">
        <v>12</v>
      </c>
      <c r="N1">
        <v>13</v>
      </c>
      <c r="O1">
        <v>14</v>
      </c>
      <c r="P1">
        <v>15</v>
      </c>
      <c r="Q1">
        <v>16</v>
      </c>
      <c r="R1">
        <v>17</v>
      </c>
      <c r="S1">
        <v>18</v>
      </c>
      <c r="T1">
        <v>19</v>
      </c>
      <c r="U1">
        <v>20</v>
      </c>
      <c r="V1">
        <v>21</v>
      </c>
      <c r="W1">
        <v>22</v>
      </c>
      <c r="X1">
        <v>23</v>
      </c>
      <c r="Y1">
        <v>24</v>
      </c>
      <c r="Z1">
        <v>25</v>
      </c>
      <c r="AA1">
        <v>26</v>
      </c>
    </row>
    <row r="2" spans="2:27">
      <c r="B2" t="s">
        <v>49</v>
      </c>
      <c r="C2" t="s">
        <v>31</v>
      </c>
      <c r="D2" t="s">
        <v>32</v>
      </c>
      <c r="E2" t="s">
        <v>33</v>
      </c>
      <c r="F2" t="s">
        <v>34</v>
      </c>
      <c r="G2" t="s">
        <v>22</v>
      </c>
      <c r="H2" t="s">
        <v>1</v>
      </c>
      <c r="I2" t="s">
        <v>35</v>
      </c>
      <c r="J2" t="s">
        <v>30</v>
      </c>
      <c r="K2" t="s">
        <v>36</v>
      </c>
      <c r="L2" t="s">
        <v>27</v>
      </c>
      <c r="M2" t="s">
        <v>21</v>
      </c>
      <c r="N2" t="s">
        <v>20</v>
      </c>
      <c r="O2" t="s">
        <v>52</v>
      </c>
      <c r="P2" t="s">
        <v>150</v>
      </c>
      <c r="Q2" t="s">
        <v>16</v>
      </c>
      <c r="R2" t="s">
        <v>19</v>
      </c>
      <c r="S2" t="s">
        <v>12</v>
      </c>
      <c r="T2" t="s">
        <v>13</v>
      </c>
      <c r="U2" t="s">
        <v>14</v>
      </c>
      <c r="V2" t="s">
        <v>17</v>
      </c>
      <c r="W2" t="s">
        <v>18</v>
      </c>
      <c r="X2" t="s">
        <v>51</v>
      </c>
      <c r="Y2" t="s">
        <v>145</v>
      </c>
      <c r="Z2" t="s">
        <v>146</v>
      </c>
      <c r="AA2" t="s">
        <v>147</v>
      </c>
    </row>
    <row r="3" spans="2:27">
      <c r="B3" t="s">
        <v>107</v>
      </c>
      <c r="C3" t="s">
        <v>143</v>
      </c>
      <c r="D3" t="s">
        <v>84</v>
      </c>
      <c r="E3" t="s">
        <v>144</v>
      </c>
      <c r="F3" t="s">
        <v>144</v>
      </c>
      <c r="G3" t="s">
        <v>144</v>
      </c>
      <c r="H3">
        <v>3</v>
      </c>
      <c r="I3" t="s">
        <v>50</v>
      </c>
      <c r="J3" t="s">
        <v>45</v>
      </c>
      <c r="K3" t="s">
        <v>43</v>
      </c>
      <c r="L3">
        <v>2</v>
      </c>
      <c r="M3" t="s">
        <v>144</v>
      </c>
      <c r="N3" t="s">
        <v>144</v>
      </c>
      <c r="O3" s="118" t="s">
        <v>23</v>
      </c>
      <c r="P3">
        <v>5.8</v>
      </c>
      <c r="Q3" t="s">
        <v>149</v>
      </c>
      <c r="R3">
        <v>84</v>
      </c>
      <c r="S3" t="s">
        <v>57</v>
      </c>
      <c r="T3" t="s">
        <v>45</v>
      </c>
      <c r="U3" t="s">
        <v>53</v>
      </c>
      <c r="V3" t="s">
        <v>144</v>
      </c>
      <c r="W3" t="s">
        <v>144</v>
      </c>
      <c r="X3">
        <v>1</v>
      </c>
      <c r="Y3">
        <v>14.25</v>
      </c>
      <c r="Z3" t="s">
        <v>90</v>
      </c>
      <c r="AA3" t="s">
        <v>90</v>
      </c>
    </row>
    <row r="4" spans="2:27">
      <c r="B4" t="s">
        <v>108</v>
      </c>
      <c r="C4" t="s">
        <v>143</v>
      </c>
      <c r="D4" t="s">
        <v>84</v>
      </c>
      <c r="E4" t="s">
        <v>144</v>
      </c>
      <c r="F4" t="s">
        <v>144</v>
      </c>
      <c r="G4" t="s">
        <v>144</v>
      </c>
      <c r="H4">
        <v>3</v>
      </c>
      <c r="I4" t="s">
        <v>50</v>
      </c>
      <c r="J4" t="s">
        <v>45</v>
      </c>
      <c r="K4" t="s">
        <v>43</v>
      </c>
      <c r="L4">
        <v>2</v>
      </c>
      <c r="M4" t="s">
        <v>144</v>
      </c>
      <c r="N4" t="s">
        <v>144</v>
      </c>
      <c r="O4" s="118" t="s">
        <v>23</v>
      </c>
      <c r="P4">
        <v>5.8</v>
      </c>
      <c r="Q4" t="s">
        <v>149</v>
      </c>
      <c r="R4">
        <v>84</v>
      </c>
      <c r="S4" t="s">
        <v>57</v>
      </c>
      <c r="T4" t="s">
        <v>45</v>
      </c>
      <c r="U4" t="s">
        <v>53</v>
      </c>
      <c r="V4" t="s">
        <v>144</v>
      </c>
      <c r="W4" t="s">
        <v>144</v>
      </c>
      <c r="X4">
        <v>1</v>
      </c>
      <c r="Y4">
        <v>14.25</v>
      </c>
      <c r="Z4" t="s">
        <v>90</v>
      </c>
      <c r="AA4" t="s">
        <v>99</v>
      </c>
    </row>
    <row r="5" spans="2:27">
      <c r="B5" t="s">
        <v>109</v>
      </c>
      <c r="C5" t="s">
        <v>143</v>
      </c>
      <c r="D5" t="s">
        <v>84</v>
      </c>
      <c r="E5" t="s">
        <v>144</v>
      </c>
      <c r="F5" t="s">
        <v>144</v>
      </c>
      <c r="G5" t="s">
        <v>144</v>
      </c>
      <c r="H5">
        <v>3</v>
      </c>
      <c r="I5" t="s">
        <v>50</v>
      </c>
      <c r="J5" t="s">
        <v>45</v>
      </c>
      <c r="K5" t="s">
        <v>43</v>
      </c>
      <c r="L5">
        <v>2</v>
      </c>
      <c r="M5" t="s">
        <v>144</v>
      </c>
      <c r="N5" t="s">
        <v>144</v>
      </c>
      <c r="O5" s="118" t="s">
        <v>23</v>
      </c>
      <c r="P5">
        <v>5.8</v>
      </c>
      <c r="Q5" t="s">
        <v>149</v>
      </c>
      <c r="R5">
        <v>84</v>
      </c>
      <c r="S5" t="s">
        <v>57</v>
      </c>
      <c r="T5" t="s">
        <v>45</v>
      </c>
      <c r="U5" t="s">
        <v>53</v>
      </c>
      <c r="V5" t="s">
        <v>144</v>
      </c>
      <c r="W5" t="s">
        <v>144</v>
      </c>
      <c r="X5">
        <v>1</v>
      </c>
      <c r="Y5">
        <v>14.25</v>
      </c>
      <c r="Z5" t="s">
        <v>90</v>
      </c>
      <c r="AA5" t="s">
        <v>100</v>
      </c>
    </row>
    <row r="6" spans="2:27">
      <c r="B6" t="s">
        <v>110</v>
      </c>
      <c r="C6" t="s">
        <v>143</v>
      </c>
      <c r="D6" t="s">
        <v>84</v>
      </c>
      <c r="E6" t="s">
        <v>144</v>
      </c>
      <c r="F6" t="s">
        <v>144</v>
      </c>
      <c r="G6" t="s">
        <v>144</v>
      </c>
      <c r="H6">
        <v>3</v>
      </c>
      <c r="I6" t="s">
        <v>50</v>
      </c>
      <c r="J6" t="s">
        <v>45</v>
      </c>
      <c r="K6" t="s">
        <v>43</v>
      </c>
      <c r="L6">
        <v>2</v>
      </c>
      <c r="M6" t="s">
        <v>144</v>
      </c>
      <c r="N6" t="s">
        <v>144</v>
      </c>
      <c r="O6" s="118" t="s">
        <v>23</v>
      </c>
      <c r="P6">
        <v>5.8</v>
      </c>
      <c r="Q6" t="s">
        <v>149</v>
      </c>
      <c r="R6">
        <v>84</v>
      </c>
      <c r="S6" t="s">
        <v>57</v>
      </c>
      <c r="T6" t="s">
        <v>45</v>
      </c>
      <c r="U6" t="s">
        <v>53</v>
      </c>
      <c r="V6" t="s">
        <v>144</v>
      </c>
      <c r="W6" t="s">
        <v>144</v>
      </c>
      <c r="X6">
        <v>1</v>
      </c>
      <c r="Y6">
        <v>14.25</v>
      </c>
      <c r="Z6" t="s">
        <v>90</v>
      </c>
      <c r="AA6" t="s">
        <v>101</v>
      </c>
    </row>
    <row r="7" spans="2:27">
      <c r="B7" t="s">
        <v>111</v>
      </c>
      <c r="C7" t="s">
        <v>143</v>
      </c>
      <c r="D7" t="s">
        <v>84</v>
      </c>
      <c r="E7" t="s">
        <v>144</v>
      </c>
      <c r="F7" t="s">
        <v>144</v>
      </c>
      <c r="G7" t="s">
        <v>144</v>
      </c>
      <c r="H7">
        <v>3</v>
      </c>
      <c r="I7" t="s">
        <v>50</v>
      </c>
      <c r="J7" t="s">
        <v>45</v>
      </c>
      <c r="K7" t="s">
        <v>43</v>
      </c>
      <c r="L7">
        <v>2</v>
      </c>
      <c r="M7" t="s">
        <v>144</v>
      </c>
      <c r="N7" t="s">
        <v>144</v>
      </c>
      <c r="O7" s="118" t="s">
        <v>23</v>
      </c>
      <c r="P7">
        <v>5.8</v>
      </c>
      <c r="Q7" t="s">
        <v>149</v>
      </c>
      <c r="R7">
        <v>84</v>
      </c>
      <c r="S7" t="s">
        <v>57</v>
      </c>
      <c r="T7" t="s">
        <v>45</v>
      </c>
      <c r="U7" t="s">
        <v>53</v>
      </c>
      <c r="V7" t="s">
        <v>144</v>
      </c>
      <c r="W7" t="s">
        <v>144</v>
      </c>
      <c r="X7">
        <v>1</v>
      </c>
      <c r="Y7">
        <v>14.25</v>
      </c>
      <c r="Z7" t="s">
        <v>90</v>
      </c>
      <c r="AA7" t="s">
        <v>102</v>
      </c>
    </row>
    <row r="8" spans="2:27">
      <c r="B8" t="s">
        <v>112</v>
      </c>
      <c r="C8" t="s">
        <v>143</v>
      </c>
      <c r="D8" t="s">
        <v>84</v>
      </c>
      <c r="E8" t="s">
        <v>144</v>
      </c>
      <c r="F8" t="s">
        <v>144</v>
      </c>
      <c r="G8" t="s">
        <v>144</v>
      </c>
      <c r="H8">
        <v>3</v>
      </c>
      <c r="I8" t="s">
        <v>50</v>
      </c>
      <c r="J8" t="s">
        <v>45</v>
      </c>
      <c r="K8" t="s">
        <v>43</v>
      </c>
      <c r="L8">
        <v>2</v>
      </c>
      <c r="M8" t="s">
        <v>144</v>
      </c>
      <c r="N8" t="s">
        <v>144</v>
      </c>
      <c r="O8" s="118" t="s">
        <v>23</v>
      </c>
      <c r="P8">
        <v>5.8</v>
      </c>
      <c r="Q8" t="s">
        <v>149</v>
      </c>
      <c r="R8">
        <v>84</v>
      </c>
      <c r="S8" t="s">
        <v>57</v>
      </c>
      <c r="T8" t="s">
        <v>45</v>
      </c>
      <c r="U8" t="s">
        <v>53</v>
      </c>
      <c r="V8" t="s">
        <v>144</v>
      </c>
      <c r="W8" t="s">
        <v>144</v>
      </c>
      <c r="X8">
        <v>1</v>
      </c>
      <c r="Y8">
        <v>14.25</v>
      </c>
      <c r="Z8" t="s">
        <v>90</v>
      </c>
      <c r="AA8" t="s">
        <v>103</v>
      </c>
    </row>
    <row r="9" spans="2:27">
      <c r="B9" t="s">
        <v>113</v>
      </c>
      <c r="C9" t="s">
        <v>143</v>
      </c>
      <c r="D9" t="s">
        <v>84</v>
      </c>
      <c r="E9" t="s">
        <v>144</v>
      </c>
      <c r="F9" t="s">
        <v>144</v>
      </c>
      <c r="G9" t="s">
        <v>144</v>
      </c>
      <c r="H9">
        <v>3</v>
      </c>
      <c r="I9" t="s">
        <v>50</v>
      </c>
      <c r="J9" t="s">
        <v>45</v>
      </c>
      <c r="K9" t="s">
        <v>43</v>
      </c>
      <c r="L9">
        <v>2</v>
      </c>
      <c r="M9" t="s">
        <v>144</v>
      </c>
      <c r="N9" t="s">
        <v>144</v>
      </c>
      <c r="O9" s="118" t="s">
        <v>23</v>
      </c>
      <c r="P9">
        <v>5.8</v>
      </c>
      <c r="Q9" t="s">
        <v>149</v>
      </c>
      <c r="R9">
        <v>84</v>
      </c>
      <c r="S9" t="s">
        <v>57</v>
      </c>
      <c r="T9" t="s">
        <v>45</v>
      </c>
      <c r="U9" t="s">
        <v>53</v>
      </c>
      <c r="V9" t="s">
        <v>144</v>
      </c>
      <c r="W9" t="s">
        <v>144</v>
      </c>
      <c r="X9">
        <v>1</v>
      </c>
      <c r="Y9">
        <v>14.25</v>
      </c>
      <c r="Z9" t="s">
        <v>90</v>
      </c>
      <c r="AA9" t="s">
        <v>104</v>
      </c>
    </row>
    <row r="10" spans="2:27">
      <c r="B10" t="s">
        <v>114</v>
      </c>
      <c r="C10" t="s">
        <v>143</v>
      </c>
      <c r="D10" t="s">
        <v>84</v>
      </c>
      <c r="E10" t="s">
        <v>144</v>
      </c>
      <c r="F10" t="s">
        <v>144</v>
      </c>
      <c r="G10" t="s">
        <v>144</v>
      </c>
      <c r="H10">
        <v>3</v>
      </c>
      <c r="I10" t="s">
        <v>50</v>
      </c>
      <c r="J10" t="s">
        <v>45</v>
      </c>
      <c r="K10" t="s">
        <v>43</v>
      </c>
      <c r="L10">
        <v>2</v>
      </c>
      <c r="M10" t="s">
        <v>144</v>
      </c>
      <c r="N10" t="s">
        <v>144</v>
      </c>
      <c r="O10" s="118" t="s">
        <v>23</v>
      </c>
      <c r="P10">
        <v>5.8</v>
      </c>
      <c r="Q10" t="s">
        <v>149</v>
      </c>
      <c r="R10">
        <v>84</v>
      </c>
      <c r="S10" t="s">
        <v>57</v>
      </c>
      <c r="T10" t="s">
        <v>45</v>
      </c>
      <c r="U10" t="s">
        <v>53</v>
      </c>
      <c r="V10" t="s">
        <v>144</v>
      </c>
      <c r="W10" t="s">
        <v>144</v>
      </c>
      <c r="X10">
        <v>1</v>
      </c>
      <c r="Y10">
        <v>14.25</v>
      </c>
      <c r="Z10" t="s">
        <v>90</v>
      </c>
      <c r="AA10" t="s">
        <v>148</v>
      </c>
    </row>
    <row r="11" spans="2:27">
      <c r="B11" t="s">
        <v>115</v>
      </c>
      <c r="C11" t="s">
        <v>143</v>
      </c>
      <c r="D11" t="s">
        <v>84</v>
      </c>
      <c r="E11" t="s">
        <v>144</v>
      </c>
      <c r="F11" t="s">
        <v>144</v>
      </c>
      <c r="G11" t="s">
        <v>144</v>
      </c>
      <c r="H11">
        <v>3</v>
      </c>
      <c r="I11" t="s">
        <v>50</v>
      </c>
      <c r="J11" t="s">
        <v>45</v>
      </c>
      <c r="K11" t="s">
        <v>43</v>
      </c>
      <c r="L11">
        <v>2</v>
      </c>
      <c r="M11" t="s">
        <v>144</v>
      </c>
      <c r="N11" t="s">
        <v>144</v>
      </c>
      <c r="O11" s="118" t="s">
        <v>23</v>
      </c>
      <c r="P11">
        <v>5.8</v>
      </c>
      <c r="Q11" t="s">
        <v>149</v>
      </c>
      <c r="R11">
        <v>84</v>
      </c>
      <c r="S11" t="s">
        <v>57</v>
      </c>
      <c r="T11" t="s">
        <v>45</v>
      </c>
      <c r="U11" t="s">
        <v>53</v>
      </c>
      <c r="V11" t="s">
        <v>144</v>
      </c>
      <c r="W11" t="s">
        <v>144</v>
      </c>
      <c r="X11">
        <v>1</v>
      </c>
      <c r="Y11">
        <v>14.25</v>
      </c>
      <c r="Z11" t="s">
        <v>90</v>
      </c>
      <c r="AA11" t="s">
        <v>106</v>
      </c>
    </row>
    <row r="12" spans="2:27">
      <c r="B12" t="s">
        <v>116</v>
      </c>
      <c r="C12" t="s">
        <v>143</v>
      </c>
      <c r="D12" t="s">
        <v>84</v>
      </c>
      <c r="E12" t="s">
        <v>144</v>
      </c>
      <c r="F12" t="s">
        <v>144</v>
      </c>
      <c r="G12" t="s">
        <v>144</v>
      </c>
      <c r="H12">
        <v>4</v>
      </c>
      <c r="I12" t="s">
        <v>50</v>
      </c>
      <c r="J12" t="s">
        <v>45</v>
      </c>
      <c r="K12" t="s">
        <v>43</v>
      </c>
      <c r="L12">
        <v>2</v>
      </c>
      <c r="M12" t="s">
        <v>144</v>
      </c>
      <c r="N12" t="s">
        <v>144</v>
      </c>
      <c r="O12" t="s">
        <v>24</v>
      </c>
      <c r="P12">
        <v>8.6999999999999993</v>
      </c>
      <c r="Q12" t="s">
        <v>151</v>
      </c>
      <c r="R12">
        <v>105</v>
      </c>
      <c r="S12" t="s">
        <v>57</v>
      </c>
      <c r="T12" t="s">
        <v>45</v>
      </c>
      <c r="U12" t="s">
        <v>53</v>
      </c>
      <c r="V12" t="s">
        <v>144</v>
      </c>
      <c r="W12" t="s">
        <v>144</v>
      </c>
      <c r="X12">
        <v>1</v>
      </c>
      <c r="Y12">
        <v>17.5</v>
      </c>
      <c r="Z12" t="s">
        <v>90</v>
      </c>
      <c r="AA12" t="s">
        <v>90</v>
      </c>
    </row>
    <row r="13" spans="2:27">
      <c r="B13" t="s">
        <v>117</v>
      </c>
      <c r="C13" t="s">
        <v>143</v>
      </c>
      <c r="D13" t="s">
        <v>84</v>
      </c>
      <c r="E13" t="s">
        <v>144</v>
      </c>
      <c r="F13" t="s">
        <v>144</v>
      </c>
      <c r="G13" t="s">
        <v>144</v>
      </c>
      <c r="H13">
        <v>4</v>
      </c>
      <c r="I13" t="s">
        <v>50</v>
      </c>
      <c r="J13" t="s">
        <v>45</v>
      </c>
      <c r="K13" t="s">
        <v>43</v>
      </c>
      <c r="L13">
        <v>2</v>
      </c>
      <c r="M13" t="s">
        <v>144</v>
      </c>
      <c r="N13" t="s">
        <v>144</v>
      </c>
      <c r="O13" t="s">
        <v>24</v>
      </c>
      <c r="P13">
        <v>8.6999999999999993</v>
      </c>
      <c r="Q13" t="s">
        <v>151</v>
      </c>
      <c r="R13">
        <v>105</v>
      </c>
      <c r="S13" t="s">
        <v>57</v>
      </c>
      <c r="T13" t="s">
        <v>45</v>
      </c>
      <c r="U13" t="s">
        <v>53</v>
      </c>
      <c r="V13" t="s">
        <v>144</v>
      </c>
      <c r="W13" t="s">
        <v>144</v>
      </c>
      <c r="X13">
        <v>1</v>
      </c>
      <c r="Y13">
        <v>17.5</v>
      </c>
      <c r="Z13" t="s">
        <v>90</v>
      </c>
      <c r="AA13" t="s">
        <v>99</v>
      </c>
    </row>
    <row r="14" spans="2:27">
      <c r="B14" t="s">
        <v>118</v>
      </c>
      <c r="C14" t="s">
        <v>143</v>
      </c>
      <c r="D14" t="s">
        <v>84</v>
      </c>
      <c r="E14" t="s">
        <v>144</v>
      </c>
      <c r="F14" t="s">
        <v>144</v>
      </c>
      <c r="G14" t="s">
        <v>144</v>
      </c>
      <c r="H14">
        <v>4</v>
      </c>
      <c r="I14" t="s">
        <v>50</v>
      </c>
      <c r="J14" t="s">
        <v>45</v>
      </c>
      <c r="K14" t="s">
        <v>43</v>
      </c>
      <c r="L14">
        <v>2</v>
      </c>
      <c r="M14" t="s">
        <v>144</v>
      </c>
      <c r="N14" t="s">
        <v>144</v>
      </c>
      <c r="O14" t="s">
        <v>24</v>
      </c>
      <c r="P14">
        <v>8.6999999999999993</v>
      </c>
      <c r="Q14" t="s">
        <v>151</v>
      </c>
      <c r="R14">
        <v>105</v>
      </c>
      <c r="S14" t="s">
        <v>57</v>
      </c>
      <c r="T14" t="s">
        <v>45</v>
      </c>
      <c r="U14" t="s">
        <v>53</v>
      </c>
      <c r="V14" t="s">
        <v>144</v>
      </c>
      <c r="W14" t="s">
        <v>144</v>
      </c>
      <c r="X14">
        <v>1</v>
      </c>
      <c r="Y14">
        <v>17.5</v>
      </c>
      <c r="Z14" t="s">
        <v>90</v>
      </c>
      <c r="AA14" t="s">
        <v>100</v>
      </c>
    </row>
    <row r="15" spans="2:27">
      <c r="B15" t="s">
        <v>119</v>
      </c>
      <c r="C15" t="s">
        <v>143</v>
      </c>
      <c r="D15" t="s">
        <v>84</v>
      </c>
      <c r="E15" t="s">
        <v>144</v>
      </c>
      <c r="F15" t="s">
        <v>144</v>
      </c>
      <c r="G15" t="s">
        <v>144</v>
      </c>
      <c r="H15">
        <v>4</v>
      </c>
      <c r="I15" t="s">
        <v>50</v>
      </c>
      <c r="J15" t="s">
        <v>45</v>
      </c>
      <c r="K15" t="s">
        <v>43</v>
      </c>
      <c r="L15">
        <v>2</v>
      </c>
      <c r="M15" t="s">
        <v>144</v>
      </c>
      <c r="N15" t="s">
        <v>144</v>
      </c>
      <c r="O15" t="s">
        <v>24</v>
      </c>
      <c r="P15">
        <v>8.6999999999999993</v>
      </c>
      <c r="Q15" t="s">
        <v>151</v>
      </c>
      <c r="R15">
        <v>105</v>
      </c>
      <c r="S15" t="s">
        <v>57</v>
      </c>
      <c r="T15" t="s">
        <v>45</v>
      </c>
      <c r="U15" t="s">
        <v>53</v>
      </c>
      <c r="V15" t="s">
        <v>144</v>
      </c>
      <c r="W15" t="s">
        <v>144</v>
      </c>
      <c r="X15">
        <v>1</v>
      </c>
      <c r="Y15">
        <v>17.5</v>
      </c>
      <c r="Z15" t="s">
        <v>90</v>
      </c>
      <c r="AA15" t="s">
        <v>101</v>
      </c>
    </row>
    <row r="16" spans="2:27">
      <c r="B16" t="s">
        <v>120</v>
      </c>
      <c r="C16" t="s">
        <v>143</v>
      </c>
      <c r="D16" t="s">
        <v>84</v>
      </c>
      <c r="E16" t="s">
        <v>144</v>
      </c>
      <c r="F16" t="s">
        <v>144</v>
      </c>
      <c r="G16" t="s">
        <v>144</v>
      </c>
      <c r="H16">
        <v>4</v>
      </c>
      <c r="I16" t="s">
        <v>50</v>
      </c>
      <c r="J16" t="s">
        <v>45</v>
      </c>
      <c r="K16" t="s">
        <v>43</v>
      </c>
      <c r="L16">
        <v>2</v>
      </c>
      <c r="M16" t="s">
        <v>144</v>
      </c>
      <c r="N16" t="s">
        <v>144</v>
      </c>
      <c r="O16" t="s">
        <v>24</v>
      </c>
      <c r="P16">
        <v>8.6999999999999993</v>
      </c>
      <c r="Q16" t="s">
        <v>151</v>
      </c>
      <c r="R16">
        <v>105</v>
      </c>
      <c r="S16" t="s">
        <v>57</v>
      </c>
      <c r="T16" t="s">
        <v>45</v>
      </c>
      <c r="U16" t="s">
        <v>53</v>
      </c>
      <c r="V16" t="s">
        <v>144</v>
      </c>
      <c r="W16" t="s">
        <v>144</v>
      </c>
      <c r="X16">
        <v>1</v>
      </c>
      <c r="Y16">
        <v>17.5</v>
      </c>
      <c r="Z16" t="s">
        <v>90</v>
      </c>
      <c r="AA16" t="s">
        <v>102</v>
      </c>
    </row>
    <row r="17" spans="2:27">
      <c r="B17" t="s">
        <v>121</v>
      </c>
      <c r="C17" t="s">
        <v>143</v>
      </c>
      <c r="D17" t="s">
        <v>84</v>
      </c>
      <c r="E17" t="s">
        <v>144</v>
      </c>
      <c r="F17" t="s">
        <v>144</v>
      </c>
      <c r="G17" t="s">
        <v>144</v>
      </c>
      <c r="H17">
        <v>4</v>
      </c>
      <c r="I17" t="s">
        <v>50</v>
      </c>
      <c r="J17" t="s">
        <v>45</v>
      </c>
      <c r="K17" t="s">
        <v>43</v>
      </c>
      <c r="L17">
        <v>2</v>
      </c>
      <c r="M17" t="s">
        <v>144</v>
      </c>
      <c r="N17" t="s">
        <v>144</v>
      </c>
      <c r="O17" t="s">
        <v>24</v>
      </c>
      <c r="P17">
        <v>8.6999999999999993</v>
      </c>
      <c r="Q17" t="s">
        <v>151</v>
      </c>
      <c r="R17">
        <v>105</v>
      </c>
      <c r="S17" t="s">
        <v>57</v>
      </c>
      <c r="T17" t="s">
        <v>45</v>
      </c>
      <c r="U17" t="s">
        <v>53</v>
      </c>
      <c r="V17" t="s">
        <v>144</v>
      </c>
      <c r="W17" t="s">
        <v>144</v>
      </c>
      <c r="X17">
        <v>1</v>
      </c>
      <c r="Y17">
        <v>17.5</v>
      </c>
      <c r="Z17" t="s">
        <v>90</v>
      </c>
      <c r="AA17" t="s">
        <v>103</v>
      </c>
    </row>
    <row r="18" spans="2:27">
      <c r="B18" t="s">
        <v>122</v>
      </c>
      <c r="C18" t="s">
        <v>143</v>
      </c>
      <c r="D18" t="s">
        <v>84</v>
      </c>
      <c r="E18" t="s">
        <v>144</v>
      </c>
      <c r="F18" t="s">
        <v>144</v>
      </c>
      <c r="G18" t="s">
        <v>144</v>
      </c>
      <c r="H18">
        <v>4</v>
      </c>
      <c r="I18" t="s">
        <v>50</v>
      </c>
      <c r="J18" t="s">
        <v>45</v>
      </c>
      <c r="K18" t="s">
        <v>43</v>
      </c>
      <c r="L18">
        <v>2</v>
      </c>
      <c r="M18" t="s">
        <v>144</v>
      </c>
      <c r="N18" t="s">
        <v>144</v>
      </c>
      <c r="O18" t="s">
        <v>24</v>
      </c>
      <c r="P18">
        <v>8.6999999999999993</v>
      </c>
      <c r="Q18" t="s">
        <v>151</v>
      </c>
      <c r="R18">
        <v>105</v>
      </c>
      <c r="S18" t="s">
        <v>57</v>
      </c>
      <c r="T18" t="s">
        <v>45</v>
      </c>
      <c r="U18" t="s">
        <v>53</v>
      </c>
      <c r="V18" t="s">
        <v>144</v>
      </c>
      <c r="W18" t="s">
        <v>144</v>
      </c>
      <c r="X18">
        <v>1</v>
      </c>
      <c r="Y18">
        <v>17.5</v>
      </c>
      <c r="Z18" t="s">
        <v>90</v>
      </c>
      <c r="AA18" t="s">
        <v>104</v>
      </c>
    </row>
    <row r="19" spans="2:27">
      <c r="B19" t="s">
        <v>123</v>
      </c>
      <c r="C19" t="s">
        <v>143</v>
      </c>
      <c r="D19" t="s">
        <v>84</v>
      </c>
      <c r="E19" t="s">
        <v>144</v>
      </c>
      <c r="F19" t="s">
        <v>144</v>
      </c>
      <c r="G19" t="s">
        <v>144</v>
      </c>
      <c r="H19">
        <v>4</v>
      </c>
      <c r="I19" t="s">
        <v>50</v>
      </c>
      <c r="J19" t="s">
        <v>45</v>
      </c>
      <c r="K19" t="s">
        <v>43</v>
      </c>
      <c r="L19">
        <v>2</v>
      </c>
      <c r="M19" t="s">
        <v>144</v>
      </c>
      <c r="N19" t="s">
        <v>144</v>
      </c>
      <c r="O19" t="s">
        <v>24</v>
      </c>
      <c r="P19">
        <v>8.6999999999999993</v>
      </c>
      <c r="Q19" t="s">
        <v>151</v>
      </c>
      <c r="R19">
        <v>105</v>
      </c>
      <c r="S19" t="s">
        <v>57</v>
      </c>
      <c r="T19" t="s">
        <v>45</v>
      </c>
      <c r="U19" t="s">
        <v>53</v>
      </c>
      <c r="V19" t="s">
        <v>144</v>
      </c>
      <c r="W19" t="s">
        <v>144</v>
      </c>
      <c r="X19">
        <v>1</v>
      </c>
      <c r="Y19">
        <v>17.5</v>
      </c>
      <c r="Z19" t="s">
        <v>90</v>
      </c>
      <c r="AA19" t="s">
        <v>148</v>
      </c>
    </row>
    <row r="20" spans="2:27">
      <c r="B20" t="s">
        <v>124</v>
      </c>
      <c r="C20" t="s">
        <v>143</v>
      </c>
      <c r="D20" t="s">
        <v>84</v>
      </c>
      <c r="E20" t="s">
        <v>144</v>
      </c>
      <c r="F20" t="s">
        <v>144</v>
      </c>
      <c r="G20" t="s">
        <v>144</v>
      </c>
      <c r="H20">
        <v>4</v>
      </c>
      <c r="I20" t="s">
        <v>50</v>
      </c>
      <c r="J20" t="s">
        <v>45</v>
      </c>
      <c r="K20" t="s">
        <v>43</v>
      </c>
      <c r="L20">
        <v>2</v>
      </c>
      <c r="M20" t="s">
        <v>144</v>
      </c>
      <c r="N20" t="s">
        <v>144</v>
      </c>
      <c r="O20" t="s">
        <v>24</v>
      </c>
      <c r="P20">
        <v>8.6999999999999993</v>
      </c>
      <c r="Q20" t="s">
        <v>151</v>
      </c>
      <c r="R20">
        <v>105</v>
      </c>
      <c r="S20" t="s">
        <v>57</v>
      </c>
      <c r="T20" t="s">
        <v>45</v>
      </c>
      <c r="U20" t="s">
        <v>53</v>
      </c>
      <c r="V20" t="s">
        <v>144</v>
      </c>
      <c r="W20" t="s">
        <v>144</v>
      </c>
      <c r="X20">
        <v>1</v>
      </c>
      <c r="Y20">
        <v>17.5</v>
      </c>
      <c r="Z20" t="s">
        <v>90</v>
      </c>
      <c r="AA20" t="s">
        <v>106</v>
      </c>
    </row>
    <row r="21" spans="2:27">
      <c r="B21" t="s">
        <v>125</v>
      </c>
      <c r="C21" t="s">
        <v>143</v>
      </c>
      <c r="D21" t="s">
        <v>84</v>
      </c>
      <c r="E21" t="s">
        <v>144</v>
      </c>
      <c r="F21" t="s">
        <v>144</v>
      </c>
      <c r="G21" t="s">
        <v>144</v>
      </c>
      <c r="H21">
        <v>5</v>
      </c>
      <c r="I21" t="s">
        <v>50</v>
      </c>
      <c r="J21" t="s">
        <v>45</v>
      </c>
      <c r="K21" t="s">
        <v>43</v>
      </c>
      <c r="L21">
        <v>2</v>
      </c>
      <c r="M21" t="s">
        <v>144</v>
      </c>
      <c r="N21" t="s">
        <v>144</v>
      </c>
      <c r="O21">
        <v>1</v>
      </c>
      <c r="P21">
        <v>11.1</v>
      </c>
      <c r="Q21" t="s">
        <v>152</v>
      </c>
      <c r="R21">
        <v>105</v>
      </c>
      <c r="S21" t="s">
        <v>57</v>
      </c>
      <c r="T21" t="s">
        <v>45</v>
      </c>
      <c r="U21" t="s">
        <v>53</v>
      </c>
      <c r="V21" t="s">
        <v>144</v>
      </c>
      <c r="W21" t="s">
        <v>144</v>
      </c>
      <c r="X21">
        <v>1</v>
      </c>
      <c r="Y21">
        <v>21</v>
      </c>
      <c r="Z21" t="s">
        <v>90</v>
      </c>
      <c r="AA21" t="s">
        <v>90</v>
      </c>
    </row>
    <row r="22" spans="2:27">
      <c r="B22" t="s">
        <v>126</v>
      </c>
      <c r="C22" t="s">
        <v>143</v>
      </c>
      <c r="D22" t="s">
        <v>84</v>
      </c>
      <c r="E22" t="s">
        <v>144</v>
      </c>
      <c r="F22" t="s">
        <v>144</v>
      </c>
      <c r="G22" t="s">
        <v>144</v>
      </c>
      <c r="H22">
        <v>5</v>
      </c>
      <c r="I22" t="s">
        <v>50</v>
      </c>
      <c r="J22" t="s">
        <v>45</v>
      </c>
      <c r="K22" t="s">
        <v>43</v>
      </c>
      <c r="L22">
        <v>2</v>
      </c>
      <c r="M22" t="s">
        <v>144</v>
      </c>
      <c r="N22" t="s">
        <v>144</v>
      </c>
      <c r="O22">
        <v>1</v>
      </c>
      <c r="P22">
        <v>11.1</v>
      </c>
      <c r="Q22" t="s">
        <v>152</v>
      </c>
      <c r="R22">
        <v>105</v>
      </c>
      <c r="S22" t="s">
        <v>57</v>
      </c>
      <c r="T22" t="s">
        <v>45</v>
      </c>
      <c r="U22" t="s">
        <v>53</v>
      </c>
      <c r="V22" t="s">
        <v>144</v>
      </c>
      <c r="W22" t="s">
        <v>144</v>
      </c>
      <c r="X22">
        <v>1</v>
      </c>
      <c r="Y22">
        <v>21</v>
      </c>
      <c r="Z22" t="s">
        <v>90</v>
      </c>
      <c r="AA22" t="s">
        <v>99</v>
      </c>
    </row>
    <row r="23" spans="2:27">
      <c r="B23" t="s">
        <v>127</v>
      </c>
      <c r="C23" t="s">
        <v>143</v>
      </c>
      <c r="D23" t="s">
        <v>84</v>
      </c>
      <c r="E23" t="s">
        <v>144</v>
      </c>
      <c r="F23" t="s">
        <v>144</v>
      </c>
      <c r="G23" t="s">
        <v>144</v>
      </c>
      <c r="H23">
        <v>5</v>
      </c>
      <c r="I23" t="s">
        <v>50</v>
      </c>
      <c r="J23" t="s">
        <v>45</v>
      </c>
      <c r="K23" t="s">
        <v>43</v>
      </c>
      <c r="L23">
        <v>2</v>
      </c>
      <c r="M23" t="s">
        <v>144</v>
      </c>
      <c r="N23" t="s">
        <v>144</v>
      </c>
      <c r="O23">
        <v>1</v>
      </c>
      <c r="P23">
        <v>11.1</v>
      </c>
      <c r="Q23" t="s">
        <v>152</v>
      </c>
      <c r="R23">
        <v>105</v>
      </c>
      <c r="S23" t="s">
        <v>57</v>
      </c>
      <c r="T23" t="s">
        <v>45</v>
      </c>
      <c r="U23" t="s">
        <v>53</v>
      </c>
      <c r="V23" t="s">
        <v>144</v>
      </c>
      <c r="W23" t="s">
        <v>144</v>
      </c>
      <c r="X23">
        <v>1</v>
      </c>
      <c r="Y23">
        <v>21</v>
      </c>
      <c r="Z23" t="s">
        <v>90</v>
      </c>
      <c r="AA23" t="s">
        <v>100</v>
      </c>
    </row>
    <row r="24" spans="2:27">
      <c r="B24" t="s">
        <v>128</v>
      </c>
      <c r="C24" t="s">
        <v>143</v>
      </c>
      <c r="D24" t="s">
        <v>84</v>
      </c>
      <c r="E24" t="s">
        <v>144</v>
      </c>
      <c r="F24" t="s">
        <v>144</v>
      </c>
      <c r="G24" t="s">
        <v>144</v>
      </c>
      <c r="H24">
        <v>5</v>
      </c>
      <c r="I24" t="s">
        <v>50</v>
      </c>
      <c r="J24" t="s">
        <v>45</v>
      </c>
      <c r="K24" t="s">
        <v>43</v>
      </c>
      <c r="L24">
        <v>2</v>
      </c>
      <c r="M24" t="s">
        <v>144</v>
      </c>
      <c r="N24" t="s">
        <v>144</v>
      </c>
      <c r="O24">
        <v>1</v>
      </c>
      <c r="P24">
        <v>11.1</v>
      </c>
      <c r="Q24" t="s">
        <v>152</v>
      </c>
      <c r="R24">
        <v>105</v>
      </c>
      <c r="S24" t="s">
        <v>57</v>
      </c>
      <c r="T24" t="s">
        <v>45</v>
      </c>
      <c r="U24" t="s">
        <v>53</v>
      </c>
      <c r="V24" t="s">
        <v>144</v>
      </c>
      <c r="W24" t="s">
        <v>144</v>
      </c>
      <c r="X24">
        <v>1</v>
      </c>
      <c r="Y24">
        <v>21</v>
      </c>
      <c r="Z24" t="s">
        <v>90</v>
      </c>
      <c r="AA24" t="s">
        <v>101</v>
      </c>
    </row>
    <row r="25" spans="2:27">
      <c r="B25" t="s">
        <v>129</v>
      </c>
      <c r="C25" t="s">
        <v>143</v>
      </c>
      <c r="D25" t="s">
        <v>84</v>
      </c>
      <c r="E25" t="s">
        <v>144</v>
      </c>
      <c r="F25" t="s">
        <v>144</v>
      </c>
      <c r="G25" t="s">
        <v>144</v>
      </c>
      <c r="H25">
        <v>5</v>
      </c>
      <c r="I25" t="s">
        <v>50</v>
      </c>
      <c r="J25" t="s">
        <v>45</v>
      </c>
      <c r="K25" t="s">
        <v>43</v>
      </c>
      <c r="L25">
        <v>2</v>
      </c>
      <c r="M25" t="s">
        <v>144</v>
      </c>
      <c r="N25" t="s">
        <v>144</v>
      </c>
      <c r="O25">
        <v>1</v>
      </c>
      <c r="P25">
        <v>11.1</v>
      </c>
      <c r="Q25" t="s">
        <v>152</v>
      </c>
      <c r="R25">
        <v>105</v>
      </c>
      <c r="S25" t="s">
        <v>57</v>
      </c>
      <c r="T25" t="s">
        <v>45</v>
      </c>
      <c r="U25" t="s">
        <v>53</v>
      </c>
      <c r="V25" t="s">
        <v>144</v>
      </c>
      <c r="W25" t="s">
        <v>144</v>
      </c>
      <c r="X25">
        <v>1</v>
      </c>
      <c r="Y25">
        <v>21</v>
      </c>
      <c r="Z25" t="s">
        <v>90</v>
      </c>
      <c r="AA25" t="s">
        <v>102</v>
      </c>
    </row>
    <row r="26" spans="2:27">
      <c r="B26" t="s">
        <v>130</v>
      </c>
      <c r="C26" t="s">
        <v>143</v>
      </c>
      <c r="D26" t="s">
        <v>84</v>
      </c>
      <c r="E26" t="s">
        <v>144</v>
      </c>
      <c r="F26" t="s">
        <v>144</v>
      </c>
      <c r="G26" t="s">
        <v>144</v>
      </c>
      <c r="H26">
        <v>5</v>
      </c>
      <c r="I26" t="s">
        <v>50</v>
      </c>
      <c r="J26" t="s">
        <v>45</v>
      </c>
      <c r="K26" t="s">
        <v>43</v>
      </c>
      <c r="L26">
        <v>2</v>
      </c>
      <c r="M26" t="s">
        <v>144</v>
      </c>
      <c r="N26" t="s">
        <v>144</v>
      </c>
      <c r="O26">
        <v>1</v>
      </c>
      <c r="P26">
        <v>11.1</v>
      </c>
      <c r="Q26" t="s">
        <v>152</v>
      </c>
      <c r="R26">
        <v>105</v>
      </c>
      <c r="S26" t="s">
        <v>57</v>
      </c>
      <c r="T26" t="s">
        <v>45</v>
      </c>
      <c r="U26" t="s">
        <v>53</v>
      </c>
      <c r="V26" t="s">
        <v>144</v>
      </c>
      <c r="W26" t="s">
        <v>144</v>
      </c>
      <c r="X26">
        <v>1</v>
      </c>
      <c r="Y26">
        <v>21</v>
      </c>
      <c r="Z26" t="s">
        <v>90</v>
      </c>
      <c r="AA26" t="s">
        <v>103</v>
      </c>
    </row>
    <row r="27" spans="2:27">
      <c r="B27" t="s">
        <v>131</v>
      </c>
      <c r="C27" t="s">
        <v>143</v>
      </c>
      <c r="D27" t="s">
        <v>84</v>
      </c>
      <c r="E27" t="s">
        <v>144</v>
      </c>
      <c r="F27" t="s">
        <v>144</v>
      </c>
      <c r="G27" t="s">
        <v>144</v>
      </c>
      <c r="H27">
        <v>5</v>
      </c>
      <c r="I27" t="s">
        <v>50</v>
      </c>
      <c r="J27" t="s">
        <v>45</v>
      </c>
      <c r="K27" t="s">
        <v>43</v>
      </c>
      <c r="L27">
        <v>2</v>
      </c>
      <c r="M27" t="s">
        <v>144</v>
      </c>
      <c r="N27" t="s">
        <v>144</v>
      </c>
      <c r="O27">
        <v>1</v>
      </c>
      <c r="P27">
        <v>11.1</v>
      </c>
      <c r="Q27" t="s">
        <v>152</v>
      </c>
      <c r="R27">
        <v>80</v>
      </c>
      <c r="S27" t="s">
        <v>57</v>
      </c>
      <c r="T27" t="s">
        <v>45</v>
      </c>
      <c r="U27" t="s">
        <v>53</v>
      </c>
      <c r="V27" t="s">
        <v>144</v>
      </c>
      <c r="W27" t="s">
        <v>144</v>
      </c>
      <c r="X27">
        <v>1</v>
      </c>
      <c r="Y27">
        <v>21</v>
      </c>
      <c r="Z27" t="s">
        <v>90</v>
      </c>
      <c r="AA27" t="s">
        <v>104</v>
      </c>
    </row>
    <row r="28" spans="2:27">
      <c r="B28" t="s">
        <v>132</v>
      </c>
      <c r="C28" t="s">
        <v>143</v>
      </c>
      <c r="D28" t="s">
        <v>84</v>
      </c>
      <c r="E28" t="s">
        <v>144</v>
      </c>
      <c r="F28" t="s">
        <v>144</v>
      </c>
      <c r="G28" t="s">
        <v>144</v>
      </c>
      <c r="H28">
        <v>5</v>
      </c>
      <c r="I28" t="s">
        <v>50</v>
      </c>
      <c r="J28" t="s">
        <v>45</v>
      </c>
      <c r="K28" t="s">
        <v>43</v>
      </c>
      <c r="L28">
        <v>2</v>
      </c>
      <c r="M28" t="s">
        <v>144</v>
      </c>
      <c r="N28" t="s">
        <v>144</v>
      </c>
      <c r="O28">
        <v>1</v>
      </c>
      <c r="P28">
        <v>11.1</v>
      </c>
      <c r="Q28" t="s">
        <v>152</v>
      </c>
      <c r="R28">
        <v>80</v>
      </c>
      <c r="S28" t="s">
        <v>57</v>
      </c>
      <c r="T28" t="s">
        <v>45</v>
      </c>
      <c r="U28" t="s">
        <v>53</v>
      </c>
      <c r="V28" t="s">
        <v>144</v>
      </c>
      <c r="W28" t="s">
        <v>144</v>
      </c>
      <c r="X28">
        <v>1</v>
      </c>
      <c r="Y28">
        <v>21</v>
      </c>
      <c r="Z28" t="s">
        <v>90</v>
      </c>
      <c r="AA28" t="s">
        <v>148</v>
      </c>
    </row>
    <row r="29" spans="2:27">
      <c r="B29" t="s">
        <v>133</v>
      </c>
      <c r="C29" t="s">
        <v>143</v>
      </c>
      <c r="D29" t="s">
        <v>84</v>
      </c>
      <c r="E29" t="s">
        <v>144</v>
      </c>
      <c r="F29" t="s">
        <v>144</v>
      </c>
      <c r="G29" t="s">
        <v>144</v>
      </c>
      <c r="H29">
        <v>5</v>
      </c>
      <c r="I29" t="s">
        <v>50</v>
      </c>
      <c r="J29" t="s">
        <v>45</v>
      </c>
      <c r="K29" t="s">
        <v>43</v>
      </c>
      <c r="L29">
        <v>2</v>
      </c>
      <c r="M29" t="s">
        <v>144</v>
      </c>
      <c r="N29" t="s">
        <v>144</v>
      </c>
      <c r="O29">
        <v>1</v>
      </c>
      <c r="P29">
        <v>11.1</v>
      </c>
      <c r="Q29" t="s">
        <v>152</v>
      </c>
      <c r="R29">
        <v>80</v>
      </c>
      <c r="S29" t="s">
        <v>57</v>
      </c>
      <c r="T29" t="s">
        <v>45</v>
      </c>
      <c r="U29" t="s">
        <v>53</v>
      </c>
      <c r="V29" t="s">
        <v>144</v>
      </c>
      <c r="W29" t="s">
        <v>144</v>
      </c>
      <c r="X29">
        <v>1</v>
      </c>
      <c r="Y29">
        <v>21</v>
      </c>
      <c r="Z29" t="s">
        <v>90</v>
      </c>
      <c r="AA29" t="s">
        <v>106</v>
      </c>
    </row>
    <row r="30" spans="2:27">
      <c r="B30" t="s">
        <v>134</v>
      </c>
      <c r="C30" t="s">
        <v>143</v>
      </c>
      <c r="D30" t="s">
        <v>84</v>
      </c>
      <c r="E30" t="s">
        <v>144</v>
      </c>
      <c r="F30" t="s">
        <v>144</v>
      </c>
      <c r="G30" t="s">
        <v>144</v>
      </c>
      <c r="H30">
        <v>5</v>
      </c>
      <c r="I30" t="s">
        <v>50</v>
      </c>
      <c r="J30" t="s">
        <v>45</v>
      </c>
      <c r="K30" t="s">
        <v>43</v>
      </c>
      <c r="L30">
        <v>2</v>
      </c>
      <c r="M30" t="s">
        <v>144</v>
      </c>
      <c r="N30" t="s">
        <v>144</v>
      </c>
      <c r="O30">
        <v>1</v>
      </c>
      <c r="P30">
        <v>11.1</v>
      </c>
      <c r="Q30" t="s">
        <v>153</v>
      </c>
      <c r="R30">
        <v>80</v>
      </c>
      <c r="S30" t="s">
        <v>57</v>
      </c>
      <c r="T30" t="s">
        <v>45</v>
      </c>
      <c r="U30" t="s">
        <v>53</v>
      </c>
      <c r="V30" t="s">
        <v>144</v>
      </c>
      <c r="W30" t="s">
        <v>144</v>
      </c>
      <c r="X30">
        <v>1</v>
      </c>
      <c r="Y30">
        <v>24.5</v>
      </c>
      <c r="Z30" t="s">
        <v>90</v>
      </c>
      <c r="AA30" t="s">
        <v>90</v>
      </c>
    </row>
    <row r="31" spans="2:27">
      <c r="B31" t="s">
        <v>135</v>
      </c>
      <c r="C31" t="s">
        <v>143</v>
      </c>
      <c r="D31" t="s">
        <v>84</v>
      </c>
      <c r="E31" t="s">
        <v>144</v>
      </c>
      <c r="F31" t="s">
        <v>144</v>
      </c>
      <c r="G31" t="s">
        <v>144</v>
      </c>
      <c r="H31">
        <v>5</v>
      </c>
      <c r="I31" t="s">
        <v>50</v>
      </c>
      <c r="J31" t="s">
        <v>45</v>
      </c>
      <c r="K31" t="s">
        <v>43</v>
      </c>
      <c r="L31">
        <v>2</v>
      </c>
      <c r="M31" t="s">
        <v>144</v>
      </c>
      <c r="N31" t="s">
        <v>144</v>
      </c>
      <c r="O31">
        <v>1</v>
      </c>
      <c r="P31">
        <v>11.1</v>
      </c>
      <c r="Q31" t="s">
        <v>153</v>
      </c>
      <c r="R31">
        <v>80</v>
      </c>
      <c r="S31" t="s">
        <v>57</v>
      </c>
      <c r="T31" t="s">
        <v>45</v>
      </c>
      <c r="U31" t="s">
        <v>53</v>
      </c>
      <c r="V31" t="s">
        <v>144</v>
      </c>
      <c r="W31" t="s">
        <v>144</v>
      </c>
      <c r="X31">
        <v>1</v>
      </c>
      <c r="Y31">
        <v>24.5</v>
      </c>
      <c r="Z31" t="s">
        <v>90</v>
      </c>
      <c r="AA31" t="s">
        <v>99</v>
      </c>
    </row>
    <row r="32" spans="2:27">
      <c r="B32" t="s">
        <v>136</v>
      </c>
      <c r="C32" t="s">
        <v>143</v>
      </c>
      <c r="D32" t="s">
        <v>84</v>
      </c>
      <c r="E32" t="s">
        <v>144</v>
      </c>
      <c r="F32" t="s">
        <v>144</v>
      </c>
      <c r="G32" t="s">
        <v>144</v>
      </c>
      <c r="H32">
        <v>5</v>
      </c>
      <c r="I32" t="s">
        <v>50</v>
      </c>
      <c r="J32" t="s">
        <v>45</v>
      </c>
      <c r="K32" t="s">
        <v>43</v>
      </c>
      <c r="L32">
        <v>2</v>
      </c>
      <c r="M32" t="s">
        <v>144</v>
      </c>
      <c r="N32" t="s">
        <v>144</v>
      </c>
      <c r="O32">
        <v>1</v>
      </c>
      <c r="P32">
        <v>11.1</v>
      </c>
      <c r="Q32" t="s">
        <v>153</v>
      </c>
      <c r="R32">
        <v>80</v>
      </c>
      <c r="S32" t="s">
        <v>57</v>
      </c>
      <c r="T32" t="s">
        <v>45</v>
      </c>
      <c r="U32" t="s">
        <v>53</v>
      </c>
      <c r="V32" t="s">
        <v>144</v>
      </c>
      <c r="W32" t="s">
        <v>144</v>
      </c>
      <c r="X32">
        <v>1</v>
      </c>
      <c r="Y32">
        <v>24.5</v>
      </c>
      <c r="Z32" t="s">
        <v>90</v>
      </c>
      <c r="AA32" t="s">
        <v>100</v>
      </c>
    </row>
    <row r="33" spans="2:27">
      <c r="B33" t="s">
        <v>137</v>
      </c>
      <c r="C33" t="s">
        <v>143</v>
      </c>
      <c r="D33" t="s">
        <v>84</v>
      </c>
      <c r="E33" t="s">
        <v>144</v>
      </c>
      <c r="F33" t="s">
        <v>144</v>
      </c>
      <c r="G33" t="s">
        <v>144</v>
      </c>
      <c r="H33">
        <v>5</v>
      </c>
      <c r="I33" t="s">
        <v>50</v>
      </c>
      <c r="J33" t="s">
        <v>45</v>
      </c>
      <c r="K33" t="s">
        <v>43</v>
      </c>
      <c r="L33">
        <v>2</v>
      </c>
      <c r="M33" t="s">
        <v>144</v>
      </c>
      <c r="N33" t="s">
        <v>144</v>
      </c>
      <c r="O33">
        <v>1</v>
      </c>
      <c r="P33">
        <v>11.1</v>
      </c>
      <c r="Q33" t="s">
        <v>153</v>
      </c>
      <c r="R33">
        <v>80</v>
      </c>
      <c r="S33" t="s">
        <v>57</v>
      </c>
      <c r="T33" t="s">
        <v>45</v>
      </c>
      <c r="U33" t="s">
        <v>53</v>
      </c>
      <c r="V33" t="s">
        <v>144</v>
      </c>
      <c r="W33" t="s">
        <v>144</v>
      </c>
      <c r="X33">
        <v>1</v>
      </c>
      <c r="Y33">
        <v>24.5</v>
      </c>
      <c r="Z33" t="s">
        <v>90</v>
      </c>
      <c r="AA33" t="s">
        <v>101</v>
      </c>
    </row>
    <row r="34" spans="2:27">
      <c r="B34" t="s">
        <v>138</v>
      </c>
      <c r="C34" t="s">
        <v>143</v>
      </c>
      <c r="D34" t="s">
        <v>84</v>
      </c>
      <c r="E34" t="s">
        <v>144</v>
      </c>
      <c r="F34" t="s">
        <v>144</v>
      </c>
      <c r="G34" t="s">
        <v>144</v>
      </c>
      <c r="H34">
        <v>5</v>
      </c>
      <c r="I34" t="s">
        <v>50</v>
      </c>
      <c r="J34" t="s">
        <v>45</v>
      </c>
      <c r="K34" t="s">
        <v>43</v>
      </c>
      <c r="L34">
        <v>2</v>
      </c>
      <c r="M34" t="s">
        <v>144</v>
      </c>
      <c r="N34" t="s">
        <v>144</v>
      </c>
      <c r="O34">
        <v>1</v>
      </c>
      <c r="P34">
        <v>11.1</v>
      </c>
      <c r="Q34" t="s">
        <v>153</v>
      </c>
      <c r="R34">
        <v>80</v>
      </c>
      <c r="S34" t="s">
        <v>57</v>
      </c>
      <c r="T34" t="s">
        <v>45</v>
      </c>
      <c r="U34" t="s">
        <v>53</v>
      </c>
      <c r="V34" t="s">
        <v>144</v>
      </c>
      <c r="W34" t="s">
        <v>144</v>
      </c>
      <c r="X34">
        <v>1</v>
      </c>
      <c r="Y34">
        <v>24.5</v>
      </c>
      <c r="Z34" t="s">
        <v>90</v>
      </c>
      <c r="AA34" t="s">
        <v>102</v>
      </c>
    </row>
    <row r="35" spans="2:27">
      <c r="B35" t="s">
        <v>139</v>
      </c>
      <c r="C35" t="s">
        <v>143</v>
      </c>
      <c r="D35" t="s">
        <v>84</v>
      </c>
      <c r="E35" t="s">
        <v>144</v>
      </c>
      <c r="F35" t="s">
        <v>144</v>
      </c>
      <c r="G35" t="s">
        <v>144</v>
      </c>
      <c r="H35">
        <v>5</v>
      </c>
      <c r="I35" t="s">
        <v>50</v>
      </c>
      <c r="J35" t="s">
        <v>45</v>
      </c>
      <c r="K35" t="s">
        <v>43</v>
      </c>
      <c r="L35">
        <v>2</v>
      </c>
      <c r="M35" t="s">
        <v>144</v>
      </c>
      <c r="N35" t="s">
        <v>144</v>
      </c>
      <c r="O35">
        <v>1</v>
      </c>
      <c r="P35">
        <v>11.1</v>
      </c>
      <c r="Q35" t="s">
        <v>153</v>
      </c>
      <c r="R35">
        <v>80</v>
      </c>
      <c r="S35" t="s">
        <v>57</v>
      </c>
      <c r="T35" t="s">
        <v>45</v>
      </c>
      <c r="U35" t="s">
        <v>53</v>
      </c>
      <c r="V35" t="s">
        <v>144</v>
      </c>
      <c r="W35" t="s">
        <v>144</v>
      </c>
      <c r="X35">
        <v>1</v>
      </c>
      <c r="Y35">
        <v>24.5</v>
      </c>
      <c r="Z35" t="s">
        <v>90</v>
      </c>
      <c r="AA35" t="s">
        <v>103</v>
      </c>
    </row>
    <row r="36" spans="2:27">
      <c r="B36" t="s">
        <v>140</v>
      </c>
      <c r="C36" t="s">
        <v>143</v>
      </c>
      <c r="D36" t="s">
        <v>84</v>
      </c>
      <c r="E36" t="s">
        <v>144</v>
      </c>
      <c r="F36" t="s">
        <v>144</v>
      </c>
      <c r="G36" t="s">
        <v>144</v>
      </c>
      <c r="H36">
        <v>5</v>
      </c>
      <c r="I36" t="s">
        <v>50</v>
      </c>
      <c r="J36" t="s">
        <v>45</v>
      </c>
      <c r="K36" t="s">
        <v>43</v>
      </c>
      <c r="L36">
        <v>2</v>
      </c>
      <c r="M36" t="s">
        <v>144</v>
      </c>
      <c r="N36" t="s">
        <v>144</v>
      </c>
      <c r="O36">
        <v>1</v>
      </c>
      <c r="P36">
        <v>11.1</v>
      </c>
      <c r="Q36" t="s">
        <v>153</v>
      </c>
      <c r="R36">
        <v>80</v>
      </c>
      <c r="S36" t="s">
        <v>57</v>
      </c>
      <c r="T36" t="s">
        <v>45</v>
      </c>
      <c r="U36" t="s">
        <v>53</v>
      </c>
      <c r="V36" t="s">
        <v>144</v>
      </c>
      <c r="W36" t="s">
        <v>144</v>
      </c>
      <c r="X36">
        <v>1</v>
      </c>
      <c r="Y36">
        <v>24.5</v>
      </c>
      <c r="Z36" t="s">
        <v>90</v>
      </c>
      <c r="AA36" t="s">
        <v>104</v>
      </c>
    </row>
    <row r="37" spans="2:27">
      <c r="B37" t="s">
        <v>141</v>
      </c>
      <c r="C37" t="s">
        <v>143</v>
      </c>
      <c r="D37" t="s">
        <v>84</v>
      </c>
      <c r="E37" t="s">
        <v>144</v>
      </c>
      <c r="F37" t="s">
        <v>144</v>
      </c>
      <c r="G37" t="s">
        <v>144</v>
      </c>
      <c r="H37">
        <v>5</v>
      </c>
      <c r="I37" t="s">
        <v>50</v>
      </c>
      <c r="J37" t="s">
        <v>45</v>
      </c>
      <c r="K37" t="s">
        <v>43</v>
      </c>
      <c r="L37">
        <v>2</v>
      </c>
      <c r="M37" t="s">
        <v>144</v>
      </c>
      <c r="N37" t="s">
        <v>144</v>
      </c>
      <c r="O37">
        <v>1</v>
      </c>
      <c r="P37">
        <v>11.1</v>
      </c>
      <c r="Q37" t="s">
        <v>153</v>
      </c>
      <c r="R37">
        <v>80</v>
      </c>
      <c r="S37" t="s">
        <v>57</v>
      </c>
      <c r="T37" t="s">
        <v>45</v>
      </c>
      <c r="U37" t="s">
        <v>53</v>
      </c>
      <c r="V37" t="s">
        <v>144</v>
      </c>
      <c r="W37" t="s">
        <v>144</v>
      </c>
      <c r="X37">
        <v>1</v>
      </c>
      <c r="Y37">
        <v>24.5</v>
      </c>
      <c r="Z37" t="s">
        <v>90</v>
      </c>
      <c r="AA37" t="s">
        <v>148</v>
      </c>
    </row>
    <row r="38" spans="2:27">
      <c r="B38" t="s">
        <v>142</v>
      </c>
      <c r="C38" t="s">
        <v>143</v>
      </c>
      <c r="D38" t="s">
        <v>84</v>
      </c>
      <c r="E38" t="s">
        <v>144</v>
      </c>
      <c r="F38" t="s">
        <v>144</v>
      </c>
      <c r="G38" t="s">
        <v>144</v>
      </c>
      <c r="H38">
        <v>5</v>
      </c>
      <c r="I38" t="s">
        <v>50</v>
      </c>
      <c r="J38" t="s">
        <v>45</v>
      </c>
      <c r="K38" t="s">
        <v>43</v>
      </c>
      <c r="L38">
        <v>2</v>
      </c>
      <c r="M38" t="s">
        <v>144</v>
      </c>
      <c r="N38" t="s">
        <v>144</v>
      </c>
      <c r="O38">
        <v>1</v>
      </c>
      <c r="P38">
        <v>11.1</v>
      </c>
      <c r="Q38" t="s">
        <v>153</v>
      </c>
      <c r="R38">
        <v>80</v>
      </c>
      <c r="S38" t="s">
        <v>57</v>
      </c>
      <c r="T38" t="s">
        <v>45</v>
      </c>
      <c r="U38" t="s">
        <v>53</v>
      </c>
      <c r="V38" t="s">
        <v>144</v>
      </c>
      <c r="W38" t="s">
        <v>144</v>
      </c>
      <c r="X38">
        <v>1</v>
      </c>
      <c r="Y38">
        <v>24.5</v>
      </c>
      <c r="Z38" t="s">
        <v>90</v>
      </c>
      <c r="AA38" t="s">
        <v>106</v>
      </c>
    </row>
  </sheetData>
  <sheetProtection algorithmName="SHA-512" hashValue="7ATjiMsToLs4d9cFpuEEkP4Motu7cXzaYpsVc7RxT7St209fRKkRkYk3rYTM0q+8YjL3Syq5Bi6al20KdksglA==" saltValue="0d43/Gd9Nga6G8DaPnaIQg==" spinCount="100000" sheet="1" objects="1" scenarios="1"/>
  <autoFilter ref="B2:L38" xr:uid="{524FED65-2B23-419C-96FE-B4EEB721971C}"/>
  <phoneticPr fontId="3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03315-A686-4A79-80B2-3167FEDC97C9}">
  <sheetPr codeName="Sheet6"/>
  <dimension ref="B2:BS25"/>
  <sheetViews>
    <sheetView showGridLines="0" workbookViewId="0">
      <selection activeCell="N5" sqref="N5"/>
    </sheetView>
  </sheetViews>
  <sheetFormatPr defaultRowHeight="13.2"/>
  <cols>
    <col min="2" max="2" width="36.88671875" bestFit="1" customWidth="1"/>
    <col min="3" max="3" width="7.88671875" style="56" bestFit="1" customWidth="1"/>
    <col min="4" max="4" width="7.33203125" style="56" customWidth="1"/>
    <col min="5" max="9" width="6.44140625" style="56" customWidth="1"/>
    <col min="15" max="16" width="5.6640625" customWidth="1"/>
    <col min="17" max="17" width="9.109375"/>
    <col min="18" max="18" width="5.33203125" customWidth="1"/>
    <col min="19" max="19" width="7.33203125" customWidth="1"/>
    <col min="20" max="24" width="6.44140625" customWidth="1"/>
    <col min="25" max="25" width="9.109375"/>
    <col min="26" max="26" width="5.33203125" customWidth="1"/>
    <col min="27" max="27" width="7.33203125" customWidth="1"/>
    <col min="28" max="33" width="6.44140625" customWidth="1"/>
    <col min="34" max="34" width="9.109375"/>
    <col min="35" max="35" width="5.33203125" customWidth="1"/>
    <col min="36" max="36" width="7.33203125" customWidth="1"/>
    <col min="37" max="46" width="6.44140625" customWidth="1"/>
    <col min="47" max="47" width="9.109375"/>
    <col min="49" max="49" width="32.33203125" bestFit="1" customWidth="1"/>
  </cols>
  <sheetData>
    <row r="2" spans="2:71">
      <c r="C2" s="75"/>
      <c r="D2" s="75"/>
      <c r="E2" s="76"/>
      <c r="F2" s="75"/>
      <c r="G2" s="75"/>
      <c r="H2" s="75"/>
      <c r="I2" s="75"/>
    </row>
    <row r="3" spans="2:71">
      <c r="C3" s="77"/>
      <c r="D3" s="77"/>
      <c r="E3" s="77"/>
      <c r="F3" s="77"/>
      <c r="G3" s="77"/>
      <c r="H3" s="77"/>
      <c r="I3" s="77"/>
    </row>
    <row r="4" spans="2:71" ht="24" customHeight="1">
      <c r="C4" s="78"/>
      <c r="D4" s="78"/>
      <c r="E4" s="79"/>
      <c r="F4" s="79"/>
      <c r="G4" s="79"/>
      <c r="H4" s="79"/>
      <c r="I4" s="79"/>
      <c r="BN4" s="66"/>
      <c r="BO4" s="66"/>
      <c r="BP4" s="66"/>
      <c r="BQ4" s="66"/>
      <c r="BR4" s="66"/>
    </row>
    <row r="5" spans="2:71">
      <c r="B5" s="80" t="s">
        <v>60</v>
      </c>
      <c r="C5" s="81">
        <v>1</v>
      </c>
      <c r="D5" s="81">
        <v>2</v>
      </c>
      <c r="E5" s="81">
        <v>3</v>
      </c>
      <c r="F5" s="81">
        <v>4</v>
      </c>
      <c r="G5" s="81">
        <v>5</v>
      </c>
      <c r="H5" s="81">
        <v>6</v>
      </c>
      <c r="I5" s="81">
        <v>7</v>
      </c>
      <c r="J5" s="81">
        <v>8</v>
      </c>
      <c r="K5" s="81">
        <v>9</v>
      </c>
      <c r="L5" s="81">
        <v>10</v>
      </c>
      <c r="M5" s="81">
        <v>11</v>
      </c>
      <c r="N5" s="81">
        <v>12</v>
      </c>
      <c r="AW5" t="s">
        <v>58</v>
      </c>
      <c r="BN5" s="66"/>
      <c r="BO5" s="66"/>
      <c r="BP5" s="66"/>
      <c r="BQ5" s="66"/>
      <c r="BR5" s="66"/>
      <c r="BS5" s="66"/>
    </row>
    <row r="6" spans="2:71">
      <c r="B6" t="s">
        <v>162</v>
      </c>
      <c r="C6" s="166" t="s">
        <v>159</v>
      </c>
      <c r="D6" s="57">
        <v>1</v>
      </c>
      <c r="E6" s="57">
        <v>692</v>
      </c>
      <c r="F6" s="57">
        <v>642</v>
      </c>
      <c r="G6" s="57">
        <v>588</v>
      </c>
      <c r="H6" s="57">
        <v>538</v>
      </c>
      <c r="I6" s="57">
        <v>491</v>
      </c>
      <c r="J6" s="57">
        <v>414</v>
      </c>
      <c r="K6" s="57">
        <v>353</v>
      </c>
      <c r="L6" s="57">
        <v>298</v>
      </c>
      <c r="M6" s="57">
        <v>263</v>
      </c>
      <c r="N6" s="57" t="s">
        <v>46</v>
      </c>
      <c r="AW6" t="s">
        <v>29</v>
      </c>
      <c r="AX6" t="s">
        <v>48</v>
      </c>
      <c r="AY6">
        <v>0.1</v>
      </c>
      <c r="AZ6">
        <v>0.2</v>
      </c>
      <c r="BA6">
        <v>0.3</v>
      </c>
      <c r="BB6">
        <v>0.4</v>
      </c>
      <c r="BC6">
        <v>0.5</v>
      </c>
      <c r="BD6">
        <v>0.6</v>
      </c>
      <c r="BE6">
        <v>0.7</v>
      </c>
      <c r="BF6">
        <v>0.8</v>
      </c>
      <c r="BG6">
        <v>0.9</v>
      </c>
      <c r="BH6" t="s">
        <v>158</v>
      </c>
      <c r="BN6" s="66"/>
      <c r="BO6" s="66"/>
      <c r="BP6" s="66"/>
      <c r="BQ6" s="66"/>
      <c r="BR6" s="66"/>
      <c r="BS6" s="66"/>
    </row>
    <row r="7" spans="2:71">
      <c r="B7" t="s">
        <v>163</v>
      </c>
      <c r="C7" s="167"/>
      <c r="D7" s="57" t="s">
        <v>154</v>
      </c>
      <c r="E7" s="57">
        <v>876</v>
      </c>
      <c r="F7" s="57">
        <v>831</v>
      </c>
      <c r="G7" s="57">
        <v>797</v>
      </c>
      <c r="H7" s="57">
        <v>757</v>
      </c>
      <c r="I7" s="57">
        <v>716</v>
      </c>
      <c r="J7" s="57">
        <v>675</v>
      </c>
      <c r="K7" s="57">
        <v>635</v>
      </c>
      <c r="L7" s="57">
        <v>596</v>
      </c>
      <c r="M7" s="57">
        <v>554</v>
      </c>
      <c r="N7" s="57">
        <v>498</v>
      </c>
      <c r="AW7" t="s">
        <v>42</v>
      </c>
      <c r="AX7" t="s">
        <v>48</v>
      </c>
      <c r="AY7">
        <v>0.1</v>
      </c>
      <c r="AZ7">
        <v>0.2</v>
      </c>
      <c r="BA7">
        <v>0.3</v>
      </c>
      <c r="BB7">
        <v>0.4</v>
      </c>
      <c r="BC7">
        <v>0.5</v>
      </c>
      <c r="BD7">
        <v>0.6</v>
      </c>
      <c r="BE7">
        <v>0.7</v>
      </c>
      <c r="BF7">
        <v>0.8</v>
      </c>
      <c r="BG7">
        <v>0.9</v>
      </c>
      <c r="BH7" t="s">
        <v>158</v>
      </c>
      <c r="BN7" s="66"/>
      <c r="BO7" s="66"/>
      <c r="BP7" s="66"/>
      <c r="BQ7" s="66"/>
      <c r="BR7" s="66"/>
      <c r="BS7" s="66"/>
    </row>
    <row r="8" spans="2:71">
      <c r="B8" t="s">
        <v>164</v>
      </c>
      <c r="C8" s="167"/>
      <c r="D8" s="82" t="s">
        <v>155</v>
      </c>
      <c r="E8" s="57">
        <v>1066</v>
      </c>
      <c r="F8" s="57">
        <v>1029</v>
      </c>
      <c r="G8" s="57">
        <v>994</v>
      </c>
      <c r="H8" s="57">
        <v>966</v>
      </c>
      <c r="I8" s="57">
        <v>935</v>
      </c>
      <c r="J8" s="57">
        <v>903</v>
      </c>
      <c r="K8" s="57">
        <v>869</v>
      </c>
      <c r="L8" s="57">
        <v>839</v>
      </c>
      <c r="M8" s="57">
        <v>806</v>
      </c>
      <c r="N8" s="57">
        <v>773</v>
      </c>
      <c r="AW8" t="s">
        <v>28</v>
      </c>
      <c r="AX8" t="s">
        <v>59</v>
      </c>
      <c r="AY8">
        <v>0.1</v>
      </c>
      <c r="AZ8">
        <v>0.2</v>
      </c>
      <c r="BA8">
        <v>0.3</v>
      </c>
      <c r="BB8">
        <v>0.4</v>
      </c>
      <c r="BC8">
        <v>0.5</v>
      </c>
      <c r="BD8">
        <v>0.6</v>
      </c>
      <c r="BE8">
        <v>0.7</v>
      </c>
      <c r="BF8">
        <v>0.8</v>
      </c>
      <c r="BG8">
        <v>0.9</v>
      </c>
      <c r="BH8" t="s">
        <v>158</v>
      </c>
      <c r="BN8" s="66"/>
      <c r="BO8" s="66"/>
      <c r="BP8" s="66"/>
      <c r="BQ8" s="66"/>
      <c r="BR8" s="66"/>
      <c r="BS8" s="66"/>
    </row>
    <row r="9" spans="2:71">
      <c r="B9" t="s">
        <v>165</v>
      </c>
      <c r="C9" s="167"/>
      <c r="D9" s="57" t="s">
        <v>156</v>
      </c>
      <c r="E9" s="57">
        <v>1189</v>
      </c>
      <c r="F9" s="57">
        <v>1151</v>
      </c>
      <c r="G9" s="57">
        <v>1117</v>
      </c>
      <c r="H9" s="57">
        <v>1091</v>
      </c>
      <c r="I9" s="57">
        <v>1065</v>
      </c>
      <c r="J9" s="57">
        <v>1041</v>
      </c>
      <c r="K9" s="57">
        <v>1010</v>
      </c>
      <c r="L9" s="57">
        <v>981</v>
      </c>
      <c r="M9" s="57">
        <v>953</v>
      </c>
      <c r="N9" s="57">
        <v>923</v>
      </c>
      <c r="AW9" t="s">
        <v>43</v>
      </c>
      <c r="AX9" t="s">
        <v>59</v>
      </c>
      <c r="AY9">
        <v>0.1</v>
      </c>
      <c r="AZ9">
        <v>0.2</v>
      </c>
      <c r="BA9">
        <v>0.3</v>
      </c>
      <c r="BB9">
        <v>0.4</v>
      </c>
      <c r="BC9">
        <v>0.5</v>
      </c>
      <c r="BD9">
        <v>0.6</v>
      </c>
      <c r="BE9">
        <v>0.7</v>
      </c>
      <c r="BF9">
        <v>0.8</v>
      </c>
      <c r="BG9">
        <v>0.9</v>
      </c>
      <c r="BH9" t="s">
        <v>158</v>
      </c>
    </row>
    <row r="10" spans="2:71">
      <c r="B10" t="s">
        <v>166</v>
      </c>
      <c r="C10" s="168"/>
      <c r="D10" s="57" t="s">
        <v>157</v>
      </c>
      <c r="E10" s="57">
        <v>1378</v>
      </c>
      <c r="F10" s="57">
        <v>1343</v>
      </c>
      <c r="G10" s="57">
        <v>1314</v>
      </c>
      <c r="H10" s="57">
        <v>1288</v>
      </c>
      <c r="I10" s="57">
        <v>1263</v>
      </c>
      <c r="J10" s="57">
        <v>1246</v>
      </c>
      <c r="K10" s="57">
        <v>1218</v>
      </c>
      <c r="L10" s="57">
        <v>1195</v>
      </c>
      <c r="M10" s="57">
        <v>1169</v>
      </c>
      <c r="N10" s="57">
        <v>1145</v>
      </c>
    </row>
    <row r="11" spans="2:71">
      <c r="B11" t="s">
        <v>167</v>
      </c>
      <c r="C11" s="166" t="s">
        <v>160</v>
      </c>
      <c r="D11" s="82">
        <v>1</v>
      </c>
      <c r="E11" s="57">
        <v>1097</v>
      </c>
      <c r="F11" s="57">
        <v>1048</v>
      </c>
      <c r="G11" s="57">
        <v>996</v>
      </c>
      <c r="H11" s="57">
        <v>953</v>
      </c>
      <c r="I11" s="57">
        <v>909</v>
      </c>
      <c r="J11" s="57">
        <v>861</v>
      </c>
      <c r="K11" s="57">
        <v>815</v>
      </c>
      <c r="L11" s="57">
        <v>765</v>
      </c>
      <c r="M11" s="57">
        <v>716</v>
      </c>
      <c r="N11" s="57">
        <v>656</v>
      </c>
    </row>
    <row r="12" spans="2:71">
      <c r="B12" t="s">
        <v>168</v>
      </c>
      <c r="C12" s="167"/>
      <c r="D12" s="82">
        <v>2</v>
      </c>
      <c r="E12" s="57">
        <v>1307</v>
      </c>
      <c r="F12" s="57">
        <v>1259</v>
      </c>
      <c r="G12" s="57">
        <v>1214</v>
      </c>
      <c r="H12" s="57">
        <v>1181</v>
      </c>
      <c r="I12" s="57">
        <v>1142</v>
      </c>
      <c r="J12" s="57">
        <v>1105</v>
      </c>
      <c r="K12" s="57">
        <v>1064</v>
      </c>
      <c r="L12" s="57">
        <v>1025</v>
      </c>
      <c r="M12" s="57">
        <v>989</v>
      </c>
      <c r="N12" s="57">
        <v>950</v>
      </c>
    </row>
    <row r="13" spans="2:71">
      <c r="B13" t="s">
        <v>169</v>
      </c>
      <c r="C13" s="167"/>
      <c r="D13" s="57" t="s">
        <v>155</v>
      </c>
      <c r="E13" s="57">
        <v>1481</v>
      </c>
      <c r="F13" s="57">
        <v>1438</v>
      </c>
      <c r="G13" s="57">
        <v>1397</v>
      </c>
      <c r="H13" s="57">
        <v>1363</v>
      </c>
      <c r="I13" s="57">
        <v>1335</v>
      </c>
      <c r="J13" s="57">
        <v>1303</v>
      </c>
      <c r="K13" s="57">
        <v>1266</v>
      </c>
      <c r="L13" s="57">
        <v>1234</v>
      </c>
      <c r="M13" s="57">
        <v>1202</v>
      </c>
      <c r="N13" s="57">
        <v>1168</v>
      </c>
    </row>
    <row r="14" spans="2:71">
      <c r="B14" t="s">
        <v>170</v>
      </c>
      <c r="C14" s="167"/>
      <c r="D14" s="57" t="s">
        <v>156</v>
      </c>
      <c r="E14" s="57">
        <v>1656</v>
      </c>
      <c r="F14" s="57">
        <v>1614</v>
      </c>
      <c r="G14" s="57">
        <v>1582</v>
      </c>
      <c r="H14" s="57">
        <v>1555</v>
      </c>
      <c r="I14" s="57">
        <v>1523</v>
      </c>
      <c r="J14" s="57">
        <v>1490</v>
      </c>
      <c r="K14" s="57">
        <v>1460</v>
      </c>
      <c r="L14" s="57">
        <v>1429</v>
      </c>
      <c r="M14" s="57">
        <v>1399</v>
      </c>
      <c r="N14" s="57">
        <v>1371</v>
      </c>
    </row>
    <row r="15" spans="2:71">
      <c r="B15" t="s">
        <v>171</v>
      </c>
      <c r="C15" s="168"/>
      <c r="D15" s="57" t="s">
        <v>157</v>
      </c>
      <c r="E15" s="57">
        <v>1767</v>
      </c>
      <c r="F15" s="57">
        <v>1727</v>
      </c>
      <c r="G15" s="57">
        <v>1692</v>
      </c>
      <c r="H15" s="57">
        <v>1655</v>
      </c>
      <c r="I15" s="57">
        <v>1623</v>
      </c>
      <c r="J15" s="57">
        <v>1592</v>
      </c>
      <c r="K15" s="57">
        <v>1564</v>
      </c>
      <c r="L15" s="57">
        <v>1533</v>
      </c>
      <c r="M15" s="57">
        <v>1502</v>
      </c>
      <c r="N15" s="57">
        <v>1471</v>
      </c>
    </row>
    <row r="16" spans="2:71">
      <c r="B16" t="s">
        <v>172</v>
      </c>
      <c r="C16" s="166" t="s">
        <v>161</v>
      </c>
      <c r="D16" s="82">
        <v>1</v>
      </c>
      <c r="E16" s="57">
        <v>1525</v>
      </c>
      <c r="F16" s="57">
        <v>1458</v>
      </c>
      <c r="G16" s="57">
        <v>1394</v>
      </c>
      <c r="H16" s="57">
        <v>1339</v>
      </c>
      <c r="I16" s="57">
        <v>1286</v>
      </c>
      <c r="J16" s="57">
        <v>1228</v>
      </c>
      <c r="K16" s="57">
        <v>1167</v>
      </c>
      <c r="L16" s="57">
        <v>1106</v>
      </c>
      <c r="M16" s="57">
        <v>1038</v>
      </c>
      <c r="N16" s="57">
        <v>962</v>
      </c>
    </row>
    <row r="17" spans="2:14">
      <c r="B17" t="s">
        <v>173</v>
      </c>
      <c r="C17" s="167"/>
      <c r="D17" s="57">
        <v>2</v>
      </c>
      <c r="E17" s="57">
        <v>1693</v>
      </c>
      <c r="F17" s="57">
        <v>1638</v>
      </c>
      <c r="G17" s="57">
        <v>1584</v>
      </c>
      <c r="H17" s="57">
        <v>1530</v>
      </c>
      <c r="I17" s="57">
        <v>1475</v>
      </c>
      <c r="J17" s="57">
        <v>1420</v>
      </c>
      <c r="K17" s="57">
        <v>1372</v>
      </c>
      <c r="L17" s="57">
        <v>1316</v>
      </c>
      <c r="M17" s="57">
        <v>1259</v>
      </c>
      <c r="N17" s="57">
        <v>1207</v>
      </c>
    </row>
    <row r="18" spans="2:14">
      <c r="B18" t="s">
        <v>174</v>
      </c>
      <c r="C18" s="167"/>
      <c r="D18" s="82" t="s">
        <v>155</v>
      </c>
      <c r="E18" s="57">
        <v>2079</v>
      </c>
      <c r="F18" s="57">
        <v>2033</v>
      </c>
      <c r="G18" s="57">
        <v>1982</v>
      </c>
      <c r="H18" s="57">
        <v>1951</v>
      </c>
      <c r="I18" s="57">
        <v>1905</v>
      </c>
      <c r="J18" s="57">
        <v>1858</v>
      </c>
      <c r="K18" s="57">
        <v>1820</v>
      </c>
      <c r="L18" s="57">
        <v>1781</v>
      </c>
      <c r="M18" s="57">
        <v>1741</v>
      </c>
      <c r="N18" s="57">
        <v>1698</v>
      </c>
    </row>
    <row r="19" spans="2:14">
      <c r="B19" t="s">
        <v>175</v>
      </c>
      <c r="C19" s="167"/>
      <c r="D19" s="57" t="s">
        <v>156</v>
      </c>
      <c r="E19" s="57">
        <v>1845</v>
      </c>
      <c r="F19" s="57">
        <v>1795</v>
      </c>
      <c r="G19" s="57">
        <v>1743</v>
      </c>
      <c r="H19" s="57">
        <v>1691</v>
      </c>
      <c r="I19" s="57">
        <v>1639</v>
      </c>
      <c r="J19" s="57">
        <v>1592</v>
      </c>
      <c r="K19" s="57">
        <v>1542</v>
      </c>
      <c r="L19" s="57">
        <v>1491</v>
      </c>
      <c r="M19" s="57">
        <v>1439</v>
      </c>
      <c r="N19" s="57">
        <v>1388</v>
      </c>
    </row>
    <row r="20" spans="2:14">
      <c r="B20" t="s">
        <v>176</v>
      </c>
      <c r="C20" s="168"/>
      <c r="D20" s="57" t="s">
        <v>157</v>
      </c>
      <c r="E20" s="57">
        <v>2223</v>
      </c>
      <c r="F20" s="57">
        <v>2156</v>
      </c>
      <c r="G20" s="57">
        <v>2104</v>
      </c>
      <c r="H20" s="57">
        <v>2055</v>
      </c>
      <c r="I20" s="57">
        <v>2011</v>
      </c>
      <c r="J20" s="57">
        <v>1981</v>
      </c>
      <c r="K20" s="57">
        <v>1930</v>
      </c>
      <c r="L20" s="57">
        <v>1887</v>
      </c>
      <c r="M20" s="57">
        <v>1847</v>
      </c>
      <c r="N20" s="57">
        <v>1801</v>
      </c>
    </row>
    <row r="21" spans="2:14">
      <c r="B21" t="s">
        <v>177</v>
      </c>
      <c r="C21" s="166" t="s">
        <v>161</v>
      </c>
      <c r="D21" s="57">
        <v>1</v>
      </c>
      <c r="E21" s="57">
        <v>1438</v>
      </c>
      <c r="F21" s="57">
        <v>1388</v>
      </c>
      <c r="G21" s="57">
        <v>1335</v>
      </c>
      <c r="H21" s="57">
        <v>1286</v>
      </c>
      <c r="I21" s="57">
        <v>1240</v>
      </c>
      <c r="J21" s="57">
        <v>1192</v>
      </c>
      <c r="K21" s="57">
        <v>1138</v>
      </c>
      <c r="L21" s="57">
        <v>1088</v>
      </c>
      <c r="M21" s="57">
        <v>1033</v>
      </c>
      <c r="N21" s="57">
        <v>978</v>
      </c>
    </row>
    <row r="22" spans="2:14">
      <c r="B22" t="s">
        <v>178</v>
      </c>
      <c r="C22" s="167"/>
      <c r="D22" s="82">
        <v>2</v>
      </c>
      <c r="E22" s="57">
        <v>1610</v>
      </c>
      <c r="F22" s="57">
        <v>1560</v>
      </c>
      <c r="G22" s="57">
        <v>1522</v>
      </c>
      <c r="H22" s="57">
        <v>1480</v>
      </c>
      <c r="I22" s="57">
        <v>1430</v>
      </c>
      <c r="J22" s="57">
        <v>1381</v>
      </c>
      <c r="K22" s="57">
        <v>1340</v>
      </c>
      <c r="L22" s="57">
        <v>1292</v>
      </c>
      <c r="M22" s="57">
        <v>1245</v>
      </c>
      <c r="N22" s="57">
        <v>1201</v>
      </c>
    </row>
    <row r="23" spans="2:14">
      <c r="B23" t="s">
        <v>179</v>
      </c>
      <c r="C23" s="167"/>
      <c r="D23" s="57" t="s">
        <v>155</v>
      </c>
      <c r="E23" s="57">
        <v>1964</v>
      </c>
      <c r="F23" s="57">
        <v>1922</v>
      </c>
      <c r="G23" s="57">
        <v>1886</v>
      </c>
      <c r="H23" s="57">
        <v>1866</v>
      </c>
      <c r="I23" s="57">
        <v>1831</v>
      </c>
      <c r="J23" s="57">
        <v>1791</v>
      </c>
      <c r="K23" s="57">
        <v>1760</v>
      </c>
      <c r="L23" s="57">
        <v>1724</v>
      </c>
      <c r="M23" s="57">
        <v>1688</v>
      </c>
      <c r="N23" s="57">
        <v>1651</v>
      </c>
    </row>
    <row r="24" spans="2:14">
      <c r="B24" t="s">
        <v>180</v>
      </c>
      <c r="C24" s="167"/>
      <c r="D24" s="82" t="s">
        <v>156</v>
      </c>
      <c r="E24" s="57">
        <v>1779</v>
      </c>
      <c r="F24" s="57">
        <v>1740</v>
      </c>
      <c r="G24" s="57">
        <v>1705</v>
      </c>
      <c r="H24" s="57">
        <v>1664</v>
      </c>
      <c r="I24" s="57">
        <v>1624</v>
      </c>
      <c r="J24" s="57">
        <v>1578</v>
      </c>
      <c r="K24" s="57">
        <v>1544</v>
      </c>
      <c r="L24" s="57">
        <v>1504</v>
      </c>
      <c r="M24" s="57">
        <v>1460</v>
      </c>
      <c r="N24" s="57">
        <v>1416</v>
      </c>
    </row>
    <row r="25" spans="2:14">
      <c r="B25" t="s">
        <v>181</v>
      </c>
      <c r="C25" s="168"/>
      <c r="D25" s="57" t="s">
        <v>157</v>
      </c>
      <c r="E25" s="57">
        <v>2089</v>
      </c>
      <c r="F25" s="57">
        <v>2037</v>
      </c>
      <c r="G25" s="57">
        <v>1997</v>
      </c>
      <c r="H25" s="57">
        <v>1959</v>
      </c>
      <c r="I25" s="57">
        <v>1924</v>
      </c>
      <c r="J25" s="57">
        <v>1898</v>
      </c>
      <c r="K25" s="57">
        <v>1859</v>
      </c>
      <c r="L25" s="57">
        <v>1822</v>
      </c>
      <c r="M25" s="57">
        <v>1783</v>
      </c>
      <c r="N25" s="57">
        <v>1747</v>
      </c>
    </row>
  </sheetData>
  <sheetProtection algorithmName="SHA-512" hashValue="QScujp7Se2B744Wrr0ZUPGXVa5EsKGmxwRJ2cD55l8DhZTy2FGURQQRBgrbUSCFfL+4++/ZjtMCAj/0/LuNdTA==" saltValue="4k0dod6Scj2FS5suPkCGjQ==" spinCount="100000" sheet="1" objects="1" scenarios="1"/>
  <mergeCells count="4">
    <mergeCell ref="C6:C10"/>
    <mergeCell ref="C11:C15"/>
    <mergeCell ref="C16:C20"/>
    <mergeCell ref="C21:C25"/>
  </mergeCells>
  <phoneticPr fontId="30" type="noConversion"/>
  <pageMargins left="0.7" right="0.7" top="0.75" bottom="0.75" header="0.3" footer="0.3"/>
  <ignoredErrors>
    <ignoredError sqref="BH8:BH9 BH6:BH7 D7:D25"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39AE9-DF4B-437A-9225-7EA664B25F6B}">
  <sheetPr codeName="Sheet7"/>
  <dimension ref="F4:I8"/>
  <sheetViews>
    <sheetView workbookViewId="0">
      <selection activeCell="H4" sqref="H4:I4"/>
    </sheetView>
  </sheetViews>
  <sheetFormatPr defaultRowHeight="13.2"/>
  <cols>
    <col min="7" max="7" width="14.6640625" bestFit="1" customWidth="1"/>
    <col min="8" max="8" width="10.88671875" bestFit="1" customWidth="1"/>
    <col min="9" max="9" width="12.6640625" bestFit="1" customWidth="1"/>
  </cols>
  <sheetData>
    <row r="4" spans="6:9">
      <c r="F4" t="s">
        <v>62</v>
      </c>
      <c r="G4" t="s">
        <v>75</v>
      </c>
      <c r="H4" t="s">
        <v>186</v>
      </c>
      <c r="I4" t="s">
        <v>187</v>
      </c>
    </row>
    <row r="5" spans="6:9">
      <c r="F5" t="s">
        <v>182</v>
      </c>
      <c r="G5">
        <v>36</v>
      </c>
      <c r="H5">
        <v>22</v>
      </c>
      <c r="I5">
        <v>15</v>
      </c>
    </row>
    <row r="6" spans="6:9">
      <c r="F6" t="s">
        <v>183</v>
      </c>
      <c r="G6">
        <v>36</v>
      </c>
      <c r="H6">
        <v>22</v>
      </c>
      <c r="I6">
        <v>15</v>
      </c>
    </row>
    <row r="7" spans="6:9">
      <c r="F7" t="s">
        <v>184</v>
      </c>
      <c r="G7">
        <v>41</v>
      </c>
      <c r="H7">
        <v>22</v>
      </c>
      <c r="I7">
        <v>18.5</v>
      </c>
    </row>
    <row r="8" spans="6:9">
      <c r="F8" t="s">
        <v>185</v>
      </c>
      <c r="G8">
        <v>41</v>
      </c>
      <c r="H8">
        <v>22</v>
      </c>
      <c r="I8">
        <v>18.5</v>
      </c>
    </row>
  </sheetData>
  <sheetProtection algorithmName="SHA-512" hashValue="5aid4lRG8JGYj0d1g3Vt+3+dePtWl770EznY48q0sJ1LNoxVX/au4AGBbcm3UrQJYoqYyRXhlrfgtXRZq4vFYw==" saltValue="KkrIW1sur7cJjuq02FGpE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K g F A A B Q S w M E F A A C A A g A w I R b W h V 9 t P W j A A A A 9 g A A A B I A H A B D b 2 5 m a W c v U G F j a 2 F n Z S 5 4 b W w g o h g A K K A U A A A A A A A A A A A A A A A A A A A A A A A A A A A A h Y + x D o I w F E V / h X S n h b I o e Z T B V R I T o n F t S s V G e B h a L P / m 4 C f 5 C 2 I U d X O 8 5 5 7 h 3 v v 1 B v n Y N s F F 9 9 Z 0 m J G Y R i T Q q L r K Y J 2 R w R 3 C B c k F b K Q 6 y V o H k 4 w 2 H W 2 V k a N z 5 5 Q x 7 z 3 1 C e 3 6 m v E o i t m + W J f q q F t J P r L 5 L 4 c G r Z O o N B G w e 4 0 R n M Y J p 5 w v a Q R s h l A Y / A p 8 2 v t s f y C s h s Y N v R Y a w 2 0 J b I 7 A 3 h / E A 1 B L A w Q U A A I A C A D A h F t 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w I R b W t 2 T J R 6 j A g A A N h E A A B M A H A B G b 3 J t d W x h c y 9 T Z W N 0 a W 9 u M S 5 t I K I Y A C i g F A A A A A A A A A A A A A A A A A A A A A A A A A A A A M 2 W T 2 / a M B i H 7 0 h 8 B y u 9 U A m h p f y d p h 4 6 h r R J a z U N t h 2 q H k w w E D X Y l W M 2 V u T v P g e H x H a c J T M 5 j E u x 4 7 y / 9 3 H c 8 M Q o Y C H B Y C 7 / + u / a r X Y r 3 k K K V u D K e x + R X 4 i C e 8 I I 9 c A t i B B r t 4 D 4 z M m e B k j M z A 4 B i n r T P a U I s x + E P i 8 J e e 5 c H x 8 f 4 A 7 d e g u 4 j N D Y e + K P U 4 K Z W P L U l Q W u v O k W 4 o 1 I W f x + Q U n t 0 9 L e g k I c r w n d T U m 0 3 + H k Y t y R a d 3 j U W + o C 5 i 4 D B g 6 M M 6 v 2 6 0 Q W 2 v r S H c h X Y s i Q P S z D j f u U J P m o P S W e m 5 c 8 w g u w c N + t 0 Q X P K m 3 z U H J f o g j z T 1 i i I Z 4 A z 6 g n 2 G A 3 I n 8 N 8 0 h m U 1 1 w S f M R o N e s q 4 + 2 j c c M j A P X y + B 8 p u D y t t x w / k c Y g S + k 4 j B D U p O M J Y v k g v g + s 3 B l T X n d C Z n k b i b h j A C H x F k F w A O m g N M e w p k S y 5 P 8 L w 7 z j T D 5 m j S X p w 4 v o r / y T j 5 J X M G G T U H c m 7 G 7 a B 9 g Z R d / C p v k G Y u 3 n o o N l i y k n e r l S g 4 3 c e M 7 P K S Y l Y W 6 x i h X W D + i C M Y b E 3 X y M v P D i 8 Q J w m m i 8 g c e f n 0 P c v T O i r m G R b B z Z m e 7 5 X g + X Y + e 4 s i 2 H C N D N W Y t 8 A W L a U e r m + N L S o G t 0 7 a q W 8 q q A t x m o t k 0 O q k h d j w l 3 q 4 N 8 U 0 x T y 4 P r L T 9 S v o 9 O q 5 A 6 z O D p D i m X J g Q T T v r Y 3 Z t y c X j Y R b J s u P 8 6 A C v Z g o b S G W t p C C 5 w J h Q c 7 X 1 4 Y d m D m q o 3 B t W I 4 2 r E B T 6 2 u W k H O V u Y O F U i t Q G 3 R o y S 5 X F v 7 X i / Z d G F X s g h G e 2 Y R Q n K 3 0 i X Q v D P W x b I F 5 a + 1 d G N m D T b X h l i k 7 9 L g C u p j l G c 8 + H V o o / / k Z j / X y u e J w Z V B + j C c V L M q z U 5 T j B H E e W y i y p b U x J k a C Y j h c H Z 1 I V M s p Z q q q I 0 X l v 1 W c c l 3 7 A 1 B L A Q I t A B Q A A g A I A M C E W 1 o V f b T 1 o w A A A P Y A A A A S A A A A A A A A A A A A A A A A A A A A A A B D b 2 5 m a W c v U G F j a 2 F n Z S 5 4 b W x Q S w E C L Q A U A A I A C A D A h F t a D 8 r p q 6 Q A A A D p A A A A E w A A A A A A A A A A A A A A A A D v A A A A W 0 N v b n R l b n R f V H l w Z X N d L n h t b F B L A Q I t A B Q A A g A I A M C E W 1 r d k y U e o w I A A D Y R A A A T A A A A A A A A A A A A A A A A A O A B A A B G b 3 J t d W x h c y 9 T Z W N 0 a W 9 u M S 5 t U E s F B g A A A A A D A A M A w g A A A N A E 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d H A A A A A A A A d U c 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J s b 3 d l c i U y M E 1 v d G 9 y P C 9 J d G V t U G F 0 a D 4 8 L 0 l 0 Z W 1 M b 2 N h d G l v b j 4 8 U 3 R h Y m x l R W 5 0 c m l l c z 4 8 R W 5 0 c n k g V H l w Z T 0 i S X N Q c m l 2 Y X R l I i B W Y W x 1 Z T 0 i b D A i I C 8 + P E V u d H J 5 I F R 5 c G U 9 I l F 1 Z X J 5 S U Q i I F Z h b H V l P S J z M D c x M T N j M T Y t Z j F j N y 0 0 Y j Q 1 L T g x Y W Y t Z D Q x M 2 J j Y z F i Z T l j 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U t M D I t M j d U M j I 6 M D I 6 M T Y u M j U 3 O D g 1 N l o i I C 8 + P E V u d H J 5 I F R 5 c G U 9 I k Z p b G x T d G F 0 d X M i I F Z h b H V l P S J z Q 2 9 t c G x l d G U i I C 8 + P C 9 T d G F i b G V F b n R y a W V z P j w v S X R l b T 4 8 S X R l b T 4 8 S X R l b U x v Y 2 F 0 a W 9 u P j x J d G V t V H l w Z T 5 G b 3 J t d W x h P C 9 J d G V t V H l w Z T 4 8 S X R l b V B h d G g + U 2 V j d G l v b j E v Q m x v d 2 V y J T I w T W 9 0 b 3 I v U 2 9 1 c m N l P C 9 J d G V t U G F 0 a D 4 8 L 0 l 0 Z W 1 M b 2 N h d G l v b j 4 8 U 3 R h Y m x l R W 5 0 c m l l c y A v P j w v S X R l b T 4 8 S X R l b T 4 8 S X R l b U x v Y 2 F 0 a W 9 u P j x J d G V t V H l w Z T 5 G b 3 J t d W x h P C 9 J d G V t V H l w Z T 4 8 S X R l b V B h d G g + U 2 V j d G l v b j E v Q m x v d 2 V y J T I w T W 9 0 b 3 I v Q 2 h h b m d l Z C U y M F R 5 c G U 8 L 0 l 0 Z W 1 Q Y X R o P j w v S X R l b U x v Y 2 F 0 a W 9 u P j x T d G F i b G V F b n R y a W V z I C 8 + P C 9 J d G V t P j x J d G V t P j x J d G V t T G 9 j Y X R p b 2 4 + P E l 0 Z W 1 U e X B l P k Z v c m 1 1 b G E 8 L 0 l 0 Z W 1 U e X B l P j x J d G V t U G F 0 a D 5 T Z W N 0 a W 9 u M S 9 B a X J m b G 9 3 J T I w Q 2 9 u Z m l n P C 9 J d G V t U G F 0 a D 4 8 L 0 l 0 Z W 1 M b 2 N h d G l v b j 4 8 U 3 R h Y m x l R W 5 0 c m l l c z 4 8 R W 5 0 c n k g V H l w Z T 0 i S X N Q c m l 2 Y X R l I i B W Y W x 1 Z T 0 i b D A i I C 8 + P E V u d H J 5 I F R 5 c G U 9 I l F 1 Z X J 5 S U Q i I F Z h b H V l P S J z N T M z M T M 1 N z U t N 2 Z i N S 0 0 M D F h L W E x Z W Y t Y T Q 1 O W I w O G I 3 O D V m 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U t M D I t M j d U M j I 6 M D M 6 M D M u M z k 3 M D A y N V o i I C 8 + P E V u d H J 5 I F R 5 c G U 9 I k Z p b G x T d G F 0 d X M i I F Z h b H V l P S J z Q 2 9 t c G x l d G U i I C 8 + P C 9 T d G F i b G V F b n R y a W V z P j w v S X R l b T 4 8 S X R l b T 4 8 S X R l b U x v Y 2 F 0 a W 9 u P j x J d G V t V H l w Z T 5 G b 3 J t d W x h P C 9 J d G V t V H l w Z T 4 8 S X R l b V B h d G g + U 2 V j d G l v b j E v Q W l y Z m x v d y U y M E N v b m Z p Z y 9 T b 3 V y Y 2 U 8 L 0 l 0 Z W 1 Q Y X R o P j w v S X R l b U x v Y 2 F 0 a W 9 u P j x T d G F i b G V F b n R y a W V z I C 8 + P C 9 J d G V t P j x J d G V t P j x J d G V t T G 9 j Y X R p b 2 4 + P E l 0 Z W 1 U e X B l P k Z v c m 1 1 b G E 8 L 0 l 0 Z W 1 U e X B l P j x J d G V t U G F 0 a D 5 T Z W N 0 a W 9 u M S 9 B a X J m b G 9 3 J T I w Q 2 9 u Z m l n L 0 N o Y W 5 n Z W Q l M j B U e X B l P C 9 J d G V t U G F 0 a D 4 8 L 0 l 0 Z W 1 M b 2 N h d G l v b j 4 8 U 3 R h Y m x l R W 5 0 c m l l c y A v P j w v S X R l b T 4 8 S X R l b T 4 8 S X R l b U x v Y 2 F 0 a W 9 u P j x J d G V t V H l w Z T 5 G b 3 J t d W x h P C 9 J d G V t V H l w Z T 4 8 S X R l b V B h d G g + U 2 V j d G l v b j E v U 2 x h Y i U y M E 5 1 b W J l c j w v S X R l b V B h d G g + P C 9 J d G V t T G 9 j Y X R p b 2 4 + P F N 0 Y W J s Z U V u d H J p Z X M + P E V u d H J 5 I F R 5 c G U 9 I k l z U H J p d m F 0 Z S I g V m F s d W U 9 I m w w I i A v P j x F b n R y e S B U e X B l P S J R d W V y e U l E I i B W Y W x 1 Z T 0 i c z I z Z T l h Y j E z L T U w O D Y t N D A z O S 0 4 O T g y L W E 0 N 2 R j M 2 N m Y m I 1 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E 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1 L T A y L T I 3 V D I y O j A z O j I y L j I x M D g 0 N z Z a I i A v P j x F b n R y e S B U e X B l P S J G a W x s U 3 R h d H V z I i B W Y W x 1 Z T 0 i c 0 N v b X B s Z X R l I i A v P j w v U 3 R h Y m x l R W 5 0 c m l l c z 4 8 L 0 l 0 Z W 0 + P E l 0 Z W 0 + P E l 0 Z W 1 M b 2 N h d G l v b j 4 8 S X R l b V R 5 c G U + R m 9 y b X V s Y T w v S X R l b V R 5 c G U + P E l 0 Z W 1 Q Y X R o P l N l Y 3 R p b 2 4 x L 1 N s Y W I l M j B O d W 1 i Z X I v U 2 9 1 c m N l P C 9 J d G V t U G F 0 a D 4 8 L 0 l 0 Z W 1 M b 2 N h d G l v b j 4 8 U 3 R h Y m x l R W 5 0 c m l l c y A v P j w v S X R l b T 4 8 S X R l b T 4 8 S X R l b U x v Y 2 F 0 a W 9 u P j x J d G V t V H l w Z T 5 G b 3 J t d W x h P C 9 J d G V t V H l w Z T 4 8 S X R l b V B h d G g + U 2 V j d G l v b j E v U 2 x h Y i U y M E 5 1 b W J l c i 9 D a G F u Z 2 V k J T I w V H l w Z T w v S X R l b V B h d G g + P C 9 J d G V t T G 9 j Y X R p b 2 4 + P F N 0 Y W J s Z U V u d H J p Z X M g L z 4 8 L 0 l 0 Z W 0 + P E l 0 Z W 0 + P E l 0 Z W 1 M b 2 N h d G l v b j 4 8 S X R l b V R 5 c G U + R m 9 y b X V s Y T w v S X R l b V R 5 c G U + P E l 0 Z W 1 Q Y X R o P l N l Y 3 R p b 2 4 x L 0 1 l d G V y a W 5 n J T I w R G V 2 a W N l P C 9 J d G V t U G F 0 a D 4 8 L 0 l 0 Z W 1 M b 2 N h d G l v b j 4 8 U 3 R h Y m x l R W 5 0 c m l l c z 4 8 R W 5 0 c n k g V H l w Z T 0 i S X N Q c m l 2 Y X R l I i B W Y W x 1 Z T 0 i b D A i I C 8 + P E V u d H J 5 I F R 5 c G U 9 I l F 1 Z X J 5 S U Q i I F Z h b H V l P S J z O W I y O W V j Y j k t N j Y y Z i 0 0 M j N i L W J h M T A t M m M x N D l h N j U 0 N G V m 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U t M D I t M j d U M j I 6 M D M 6 N D Q u O T k 4 M T M y O F o i I C 8 + P E V u d H J 5 I F R 5 c G U 9 I k Z p b G x T d G F 0 d X M i I F Z h b H V l P S J z Q 2 9 t c G x l d G U i I C 8 + P C 9 T d G F i b G V F b n R y a W V z P j w v S X R l b T 4 8 S X R l b T 4 8 S X R l b U x v Y 2 F 0 a W 9 u P j x J d G V t V H l w Z T 5 G b 3 J t d W x h P C 9 J d G V t V H l w Z T 4 8 S X R l b V B h d G g + U 2 V j d G l v b j E v T W V 0 Z X J p b m c l M j B E Z X Z p Y 2 U v U 2 9 1 c m N l P C 9 J d G V t U G F 0 a D 4 8 L 0 l 0 Z W 1 M b 2 N h d G l v b j 4 8 U 3 R h Y m x l R W 5 0 c m l l c y A v P j w v S X R l b T 4 8 S X R l b T 4 8 S X R l b U x v Y 2 F 0 a W 9 u P j x J d G V t V H l w Z T 5 G b 3 J t d W x h P C 9 J d G V t V H l w Z T 4 8 S X R l b V B h d G g + U 2 V j d G l v b j E v T W V 0 Z X J p b m c l M j B E Z X Z p Y 2 U v Q 2 h h b m d l Z C U y M F R 5 c G U 8 L 0 l 0 Z W 1 Q Y X R o P j w v S X R l b U x v Y 2 F 0 a W 9 u P j x T d G F i b G V F b n R y a W V z I C 8 + P C 9 J d G V t P j x J d G V t P j x J d G V t T G 9 j Y X R p b 2 4 + P E l 0 Z W 1 U e X B l P k Z v c m 1 1 b G E 8 L 0 l 0 Z W 1 U e X B l P j x J d G V t U G F 0 a D 5 T Z W N 0 a W 9 u M S 9 V b m l 0 J T I w U 2 l 6 Z T w v S X R l b V B h d G g + P C 9 J d G V t T G 9 j Y X R p b 2 4 + P F N 0 Y W J s Z U V u d H J p Z X M + P E V u d H J 5 I F R 5 c G U 9 I k l z U H J p d m F 0 Z S I g V m F s d W U 9 I m w w I i A v P j x F b n R y e S B U e X B l P S J R d W V y e U l E I i B W Y W x 1 Z T 0 i c z l j O G R m Z D Y z L W Z h N j g t N D g 5 M S 0 5 O G Q z L T g w M D N i Y W V m Z T M 0 Y 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E 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1 L T A y L T I 3 V D I y O j A 0 O j A 1 L j E z O D A 0 O T J a I i A v P j x F b n R y e S B U e X B l P S J G a W x s U 3 R h d H V z I i B W Y W x 1 Z T 0 i c 0 N v b X B s Z X R l I i A v P j w v U 3 R h Y m x l R W 5 0 c m l l c z 4 8 L 0 l 0 Z W 0 + P E l 0 Z W 0 + P E l 0 Z W 1 M b 2 N h d G l v b j 4 8 S X R l b V R 5 c G U + R m 9 y b X V s Y T w v S X R l b V R 5 c G U + P E l 0 Z W 1 Q Y X R o P l N l Y 3 R p b 2 4 x L 1 V u a X Q l M j B T a X p l L 1 N v d X J j Z T w v S X R l b V B h d G g + P C 9 J d G V t T G 9 j Y X R p b 2 4 + P F N 0 Y W J s Z U V u d H J p Z X M g L z 4 8 L 0 l 0 Z W 0 + P E l 0 Z W 0 + P E l 0 Z W 1 M b 2 N h d G l v b j 4 8 S X R l b V R 5 c G U + R m 9 y b X V s Y T w v S X R l b V R 5 c G U + P E l 0 Z W 1 Q Y X R o P l N l Y 3 R p b 2 4 x L 1 V u a X Q l M j B T a X p l L 0 N o Y W 5 n Z W Q l M j B U e X B l P C 9 J d G V t U G F 0 a D 4 8 L 0 l 0 Z W 1 M b 2 N h d G l v b j 4 8 U 3 R h Y m x l R W 5 0 c m l l c y A v P j w v S X R l b T 4 8 S X R l b T 4 8 S X R l b U x v Y 2 F 0 a W 9 u P j x J d G V t V H l w Z T 5 G b 3 J t d W x h P C 9 J d G V t V H l w Z T 4 8 S X R l b V B h d G g + U 2 V j d G l v b j E v T G l u Z S U y M F Z v b H R h Z 2 U l M j B D b 2 5 u Z W N 0 a W 9 u P C 9 J d G V t U G F 0 a D 4 8 L 0 l 0 Z W 1 M b 2 N h d G l v b j 4 8 U 3 R h Y m x l R W 5 0 c m l l c z 4 8 R W 5 0 c n k g V H l w Z T 0 i S X N Q c m l 2 Y X R l I i B W Y W x 1 Z T 0 i b D A i I C 8 + P E V u d H J 5 I F R 5 c G U 9 I l F 1 Z X J 5 S U Q i I F Z h b H V l P S J z O G R h O T A 3 M j g t O T E y N S 0 0 Z j A w L T k w Z m U t M D g 5 N W Y x M G I 5 O W Q 5 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U t M D I t M j d U M j I 6 M D Q 6 M z I u O D c 4 O T k 3 N l o i I C 8 + P E V u d H J 5 I F R 5 c G U 9 I k Z p b G x T d G F 0 d X M i I F Z h b H V l P S J z Q 2 9 t c G x l d G U i I C 8 + P C 9 T d G F i b G V F b n R y a W V z P j w v S X R l b T 4 8 S X R l b T 4 8 S X R l b U x v Y 2 F 0 a W 9 u P j x J d G V t V H l w Z T 5 G b 3 J t d W x h P C 9 J d G V t V H l w Z T 4 8 S X R l b V B h d G g + U 2 V j d G l v b j E v T G l u Z S U y M F Z v b H R h Z 2 U l M j B D b 2 5 u Z W N 0 a W 9 u L 1 N v d X J j Z T w v S X R l b V B h d G g + P C 9 J d G V t T G 9 j Y X R p b 2 4 + P F N 0 Y W J s Z U V u d H J p Z X M g L z 4 8 L 0 l 0 Z W 0 + P E l 0 Z W 0 + P E l 0 Z W 1 M b 2 N h d G l v b j 4 8 S X R l b V R 5 c G U + R m 9 y b X V s Y T w v S X R l b V R 5 c G U + P E l 0 Z W 1 Q Y X R o P l N l Y 3 R p b 2 4 x L 0 x p b m U l M j B W b 2 x 0 Y W d l J T I w Q 2 9 u b m V j d G l v b i 9 D a G F u Z 2 V k J T I w V H l w Z T w v S X R l b V B h d G g + P C 9 J d G V t T G 9 j Y X R p b 2 4 + P F N 0 Y W J s Z U V u d H J p Z X M g L z 4 8 L 0 l 0 Z W 0 + P E l 0 Z W 0 + P E l 0 Z W 1 M b 2 N h d G l v b j 4 8 S X R l b V R 5 c G U + R m 9 y b X V s Y T w v S X R l b V R 5 c G U + P E l 0 Z W 1 Q Y X R o P l N l Y 3 R p b 2 4 x L 0 V s Z W N 0 c m l h b C U y M E h l Y X Q 8 L 0 l 0 Z W 1 Q Y X R o P j w v S X R l b U x v Y 2 F 0 a W 9 u P j x T d G F i b G V F b n R y a W V z P j x F b n R y e S B U e X B l P S J J c 1 B y a X Z h d G U i I F Z h b H V l P S J s M C I g L z 4 8 R W 5 0 c n k g V H l w Z T 0 i U X V l c n l J R C I g V m F s d W U 9 I n N j Y T M 4 M G M 4 Z C 1 k N z c 4 L T Q 5 Z W U t O D A 0 O C 0 w Y j M y Y T R k Z D g 0 N G Y 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x 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N S 0 w M i 0 y N 1 Q y M j o w N D o 1 N C 4 0 N T c y M T k w W i I g L z 4 8 R W 5 0 c n k g V H l w Z T 0 i R m l s b F N 0 Y X R 1 c y I g V m F s d W U 9 I n N D b 2 1 w b G V 0 Z S I g L z 4 8 L 1 N 0 Y W J s Z U V u d H J p Z X M + P C 9 J d G V t P j x J d G V t P j x J d G V t T G 9 j Y X R p b 2 4 + P E l 0 Z W 1 U e X B l P k Z v c m 1 1 b G E 8 L 0 l 0 Z W 1 U e X B l P j x J d G V t U G F 0 a D 5 T Z W N 0 a W 9 u M S 9 F b G V j d H J p Y W w l M j B I Z W F 0 L 1 N v d X J j Z T w v S X R l b V B h d G g + P C 9 J d G V t T G 9 j Y X R p b 2 4 + P F N 0 Y W J s Z U V u d H J p Z X M g L z 4 8 L 0 l 0 Z W 0 + P E l 0 Z W 0 + P E l 0 Z W 1 M b 2 N h d G l v b j 4 8 S X R l b V R 5 c G U + R m 9 y b X V s Y T w v S X R l b V R 5 c G U + P E l 0 Z W 1 Q Y X R o P l N l Y 3 R p b 2 4 x L 0 V s Z W N 0 c m l h b C U y M E h l Y X Q v Q 2 h h b m d l Z C U y M F R 5 c G U 8 L 0 l 0 Z W 1 Q Y X R o P j w v S X R l b U x v Y 2 F 0 a W 9 u P j x T d G F i b G V F b n R y a W V z I C 8 + P C 9 J d G V t P j x J d G V t P j x J d G V t T G 9 j Y X R p b 2 4 + P E l 0 Z W 1 U e X B l P k Z v c m 1 1 b G E 8 L 0 l 0 Z W 1 U e X B l P j x J d G V t U G F 0 a D 5 T Z W N 0 a W 9 u M S 9 W b 2 x 0 Y W d l P C 9 J d G V t U G F 0 a D 4 8 L 0 l 0 Z W 1 M b 2 N h d G l v b j 4 8 U 3 R h Y m x l R W 5 0 c m l l c z 4 8 R W 5 0 c n k g V H l w Z T 0 i S X N Q c m l 2 Y X R l I i B W Y W x 1 Z T 0 i b D A i I C 8 + P E V u d H J 5 I F R 5 c G U 9 I l F 1 Z X J 5 S U Q i I F Z h b H V l P S J z Y T I w Z j J i O D c t Z T Q y Y i 0 0 Y z g x L T k y N 2 I t M D h h Y z N h M z M 0 N T k y 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U t M D I t M j d U M j I 6 M D U 6 M T E u M D E z M z Y 2 N l o i I C 8 + P E V u d H J 5 I F R 5 c G U 9 I k Z p b G x T d G F 0 d X M i I F Z h b H V l P S J z Q 2 9 t c G x l d G U i I C 8 + P C 9 T d G F i b G V F b n R y a W V z P j w v S X R l b T 4 8 S X R l b T 4 8 S X R l b U x v Y 2 F 0 a W 9 u P j x J d G V t V H l w Z T 5 G b 3 J t d W x h P C 9 J d G V t V H l w Z T 4 8 S X R l b V B h d G g + U 2 V j d G l v b j E v V m 9 s d G F n Z S 9 T b 3 V y Y 2 U 8 L 0 l 0 Z W 1 Q Y X R o P j w v S X R l b U x v Y 2 F 0 a W 9 u P j x T d G F i b G V F b n R y a W V z I C 8 + P C 9 J d G V t P j x J d G V t P j x J d G V t T G 9 j Y X R p b 2 4 + P E l 0 Z W 1 U e X B l P k Z v c m 1 1 b G E 8 L 0 l 0 Z W 1 U e X B l P j x J d G V t U G F 0 a D 5 T Z W N 0 a W 9 u M S 9 W b 2 x 0 Y W d l L 0 N o Y W 5 n Z W Q l M j B U e X B l P C 9 J d G V t U G F 0 a D 4 8 L 0 l 0 Z W 1 M b 2 N h d G l v b j 4 8 U 3 R h Y m x l R W 5 0 c m l l c y A v P j w v S X R l b T 4 8 S X R l b T 4 8 S X R l b U x v Y 2 F 0 a W 9 u P j x J d G V t V H l w Z T 5 G b 3 J t d W x h P C 9 J d G V t V H l w Z T 4 8 S X R l b V B h d G g + U 2 V j d G l v b j E v U m V 2 a X N p b 2 4 8 L 0 l 0 Z W 1 Q Y X R o P j w v S X R l b U x v Y 2 F 0 a W 9 u P j x T d G F i b G V F b n R y a W V z P j x F b n R y e S B U e X B l P S J J c 1 B y a X Z h d G U i I F Z h b H V l P S J s M C I g L z 4 8 R W 5 0 c n k g V H l w Z T 0 i U X V l c n l J R C I g V m F s d W U 9 I n M 5 Y z B l O D A 1 Y y 0 4 M m Q 2 L T R l N G Q t O W I z M C 1 l O D I z N T E 0 Z W F m M z Y 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x 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N S 0 w M i 0 y N 1 Q y M j o w N T o y O S 4 x M T U 3 O D U 0 W i I g L z 4 8 R W 5 0 c n k g V H l w Z T 0 i R m l s b F N 0 Y X R 1 c y I g V m F s d W U 9 I n N D b 2 1 w b G V 0 Z S I g L z 4 8 L 1 N 0 Y W J s Z U V u d H J p Z X M + P C 9 J d G V t P j x J d G V t P j x J d G V t T G 9 j Y X R p b 2 4 + P E l 0 Z W 1 U e X B l P k Z v c m 1 1 b G E 8 L 0 l 0 Z W 1 U e X B l P j x J d G V t U G F 0 a D 5 T Z W N 0 a W 9 u M S 9 S Z X Z p c 2 l v b i 9 T b 3 V y Y 2 U 8 L 0 l 0 Z W 1 Q Y X R o P j w v S X R l b U x v Y 2 F 0 a W 9 u P j x T d G F i b G V F b n R y a W V z I C 8 + P C 9 J d G V t P j x J d G V t P j x J d G V t T G 9 j Y X R p b 2 4 + P E l 0 Z W 1 U e X B l P k Z v c m 1 1 b G E 8 L 0 l 0 Z W 1 U e X B l P j x J d G V t U G F 0 a D 5 T Z W N 0 a W 9 u M S 9 S Z X Z p c 2 l v b i 9 D a G F u Z 2 V k J T I w V H l w Z T w v S X R l b V B h d G g + P C 9 J d G V t T G 9 j Y X R p b 2 4 + P F N 0 Y W J s Z U V u d H J p Z X M g L z 4 8 L 0 l 0 Z W 0 + P E l 0 Z W 0 + P E l 0 Z W 1 M b 2 N h d G l v b j 4 8 S X R l b V R 5 c G U + R m 9 y b X V s Y T w v S X R l b V R 5 c G U + P E l 0 Z W 1 Q Y X R o P l N l Y 3 R p b 2 4 x L 1 B h c n Q l M j B O d W 1 i Z X I 8 L 0 l 0 Z W 1 Q Y X R o P j w v S X R l b U x v Y 2 F 0 a W 9 u P j x T d G F i b G V F b n R y a W V z P j x F b n R y e S B U e X B l P S J J c 1 B y a X Z h d G U i I F Z h b H V l P S J s M C I g L z 4 8 R W 5 0 c n k g V H l w Z T 0 i U X V l c n l J R C I g V m F s d W U 9 I n M 4 N D E 1 N 2 E 3 M y 0 0 N j A 3 L T Q z O T c t O G I 5 M C 0 3 Y m M 3 Y j E x N D R l Y T Y 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F k Z G V k V G 9 E Y X R h T W 9 k Z W w i I F Z h b H V l P S J s M C I g L z 4 8 R W 5 0 c n k g V H l w Z T 0 i R m l s b E N v d W 5 0 I i B W Y W x 1 Z T 0 i b D k y M T Y w I i A v P j x F b n R y e S B U e X B l P S J G a W x s R X J y b 3 J D b 2 R l I i B W Y W x 1 Z T 0 i c 1 V u a 2 5 v d 2 4 i I C 8 + P E V u d H J 5 I F R 5 c G U 9 I k Z p b G x F c n J v c k N v d W 5 0 I i B W Y W x 1 Z T 0 i b D A i I C 8 + P E V u d H J 5 I F R 5 c G U 9 I k Z p b G x M Y X N 0 V X B k Y X R l Z C I g V m F s d W U 9 I m Q y M D I 1 L T A y L T I 3 V D I y O j M 2 O j Q w L j U 1 M T I w N D R a I i A v P j x F b n R y e S B U e X B l P S J G a W x s Q 2 9 s d W 1 u V H l w Z X M i I F Z h b H V l P S J z Q m d B Q U F B Q U F B Q U F B Q U E 9 P S I g L z 4 8 R W 5 0 c n k g V H l w Z T 0 i R m l s b E N v b H V t b k 5 h b W V z I i B W Y W x 1 Z T 0 i c 1 s m c X V v d D t T Z X J p Z X M m c X V v d D s s J n F 1 b 3 Q 7 Q m x v d 2 V y I E 1 v d G 9 y L j E m c X V v d D s s J n F 1 b 3 Q 7 Q W l y Z m x v d y B D b 2 5 m a W c u J n F 1 b 3 Q 7 L C Z x d W 9 0 O 1 N s Y W I g T m 8 u J n F 1 b 3 Q 7 L C Z x d W 9 0 O 0 1 l d G V y a W 5 n I E R l d m l j Z S 4 x J n F 1 b 3 Q 7 L C Z x d W 9 0 O 1 V u a X Q g U 2 l 6 Z S 4 x J n F 1 b 3 Q 7 L C Z x d W 9 0 O 0 x p b m U g V m 9 s d G F n Z S B D b 2 5 u Z W N 0 a W 9 u J n F 1 b 3 Q 7 L C Z x d W 9 0 O 0 V s Z W N 0 c m l j I E h l Y X Q m c X V v d D s s J n F 1 b 3 Q 7 V m 9 s d G F n Z S 4 x J n F 1 b 3 Q 7 L C Z x d W 9 0 O 1 J l d m l z a W 9 u L j E 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U G F y d C B O d W 1 i Z X I v Q X V 0 b 1 J l b W 9 2 Z W R D b 2 x 1 b W 5 z M S 5 7 U 2 V y a W V z L D B 9 J n F 1 b 3 Q 7 L C Z x d W 9 0 O 1 N l Y 3 R p b 2 4 x L 1 B h c n Q g T n V t Y m V y L 0 F 1 d G 9 S Z W 1 v d m V k Q 2 9 s d W 1 u c z E u e 0 J s b 3 d l c i B N b 3 R v c i 4 x L D F 9 J n F 1 b 3 Q 7 L C Z x d W 9 0 O 1 N l Y 3 R p b 2 4 x L 1 B h c n Q g T n V t Y m V y L 0 F 1 d G 9 S Z W 1 v d m V k Q 2 9 s d W 1 u c z E u e 0 F p c m Z s b 3 c g Q 2 9 u Z m l n L i w y f S Z x d W 9 0 O y w m c X V v d D t T Z W N 0 a W 9 u M S 9 Q Y X J 0 I E 5 1 b W J l c i 9 B d X R v U m V t b 3 Z l Z E N v b H V t b n M x L n t T b G F i I E 5 v L i w z f S Z x d W 9 0 O y w m c X V v d D t T Z W N 0 a W 9 u M S 9 Q Y X J 0 I E 5 1 b W J l c i 9 B d X R v U m V t b 3 Z l Z E N v b H V t b n M x L n t N Z X R l c m l u Z y B E Z X Z p Y 2 U u M S w 0 f S Z x d W 9 0 O y w m c X V v d D t T Z W N 0 a W 9 u M S 9 Q Y X J 0 I E 5 1 b W J l c i 9 B d X R v U m V t b 3 Z l Z E N v b H V t b n M x L n t V b m l 0 I F N p e m U u M S w 1 f S Z x d W 9 0 O y w m c X V v d D t T Z W N 0 a W 9 u M S 9 Q Y X J 0 I E 5 1 b W J l c i 9 B d X R v U m V t b 3 Z l Z E N v b H V t b n M x L n t M a W 5 l I F Z v b H R h Z 2 U g Q 2 9 u b m V j d G l v b i w 2 f S Z x d W 9 0 O y w m c X V v d D t T Z W N 0 a W 9 u M S 9 Q Y X J 0 I E 5 1 b W J l c i 9 B d X R v U m V t b 3 Z l Z E N v b H V t b n M x L n t F b G V j d H J p Y y B I Z W F 0 L D d 9 J n F 1 b 3 Q 7 L C Z x d W 9 0 O 1 N l Y 3 R p b 2 4 x L 1 B h c n Q g T n V t Y m V y L 0 F 1 d G 9 S Z W 1 v d m V k Q 2 9 s d W 1 u c z E u e 1 Z v b H R h Z 2 U u M S w 4 f S Z x d W 9 0 O y w m c X V v d D t T Z W N 0 a W 9 u M S 9 Q Y X J 0 I E 5 1 b W J l c i 9 B d X R v U m V t b 3 Z l Z E N v b H V t b n M x L n t S Z X Z p c 2 l v b i 4 x L D l 9 J n F 1 b 3 Q 7 X S w m c X V v d D t D b 2 x 1 b W 5 D b 3 V u d C Z x d W 9 0 O z o x M C w m c X V v d D t L Z X l D b 2 x 1 b W 5 O Y W 1 l c y Z x d W 9 0 O z p b X S w m c X V v d D t D b 2 x 1 b W 5 J Z G V u d G l 0 a W V z J n F 1 b 3 Q 7 O l s m c X V v d D t T Z W N 0 a W 9 u M S 9 Q Y X J 0 I E 5 1 b W J l c i 9 B d X R v U m V t b 3 Z l Z E N v b H V t b n M x L n t T Z X J p Z X M s M H 0 m c X V v d D s s J n F 1 b 3 Q 7 U 2 V j d G l v b j E v U G F y d C B O d W 1 i Z X I v Q X V 0 b 1 J l b W 9 2 Z W R D b 2 x 1 b W 5 z M S 5 7 Q m x v d 2 V y I E 1 v d G 9 y L j E s M X 0 m c X V v d D s s J n F 1 b 3 Q 7 U 2 V j d G l v b j E v U G F y d C B O d W 1 i Z X I v Q X V 0 b 1 J l b W 9 2 Z W R D b 2 x 1 b W 5 z M S 5 7 Q W l y Z m x v d y B D b 2 5 m a W c u L D J 9 J n F 1 b 3 Q 7 L C Z x d W 9 0 O 1 N l Y 3 R p b 2 4 x L 1 B h c n Q g T n V t Y m V y L 0 F 1 d G 9 S Z W 1 v d m V k Q 2 9 s d W 1 u c z E u e 1 N s Y W I g T m 8 u L D N 9 J n F 1 b 3 Q 7 L C Z x d W 9 0 O 1 N l Y 3 R p b 2 4 x L 1 B h c n Q g T n V t Y m V y L 0 F 1 d G 9 S Z W 1 v d m V k Q 2 9 s d W 1 u c z E u e 0 1 l d G V y a W 5 n I E R l d m l j Z S 4 x L D R 9 J n F 1 b 3 Q 7 L C Z x d W 9 0 O 1 N l Y 3 R p b 2 4 x L 1 B h c n Q g T n V t Y m V y L 0 F 1 d G 9 S Z W 1 v d m V k Q 2 9 s d W 1 u c z E u e 1 V u a X Q g U 2 l 6 Z S 4 x L D V 9 J n F 1 b 3 Q 7 L C Z x d W 9 0 O 1 N l Y 3 R p b 2 4 x L 1 B h c n Q g T n V t Y m V y L 0 F 1 d G 9 S Z W 1 v d m V k Q 2 9 s d W 1 u c z E u e 0 x p b m U g V m 9 s d G F n Z S B D b 2 5 u Z W N 0 a W 9 u L D Z 9 J n F 1 b 3 Q 7 L C Z x d W 9 0 O 1 N l Y 3 R p b 2 4 x L 1 B h c n Q g T n V t Y m V y L 0 F 1 d G 9 S Z W 1 v d m V k Q 2 9 s d W 1 u c z E u e 0 V s Z W N 0 c m l j I E h l Y X Q s N 3 0 m c X V v d D s s J n F 1 b 3 Q 7 U 2 V j d G l v b j E v U G F y d C B O d W 1 i Z X I v Q X V 0 b 1 J l b W 9 2 Z W R D b 2 x 1 b W 5 z M S 5 7 V m 9 s d G F n Z S 4 x L D h 9 J n F 1 b 3 Q 7 L C Z x d W 9 0 O 1 N l Y 3 R p b 2 4 x L 1 B h c n Q g T n V t Y m V y L 0 F 1 d G 9 S Z W 1 v d m V k Q 2 9 s d W 1 u c z E u e 1 J l d m l z a W 9 u L j E s O X 0 m c X V v d D t d L C Z x d W 9 0 O 1 J l b G F 0 a W 9 u c 2 h p c E l u Z m 8 m c X V v d D s 6 W 1 1 9 I i A v P j w v U 3 R h Y m x l R W 5 0 c m l l c z 4 8 L 0 l 0 Z W 0 + P E l 0 Z W 0 + P E l 0 Z W 1 M b 2 N h d G l v b j 4 8 S X R l b V R 5 c G U + R m 9 y b X V s Y T w v S X R l b V R 5 c G U + P E l 0 Z W 1 Q Y X R o P l N l Y 3 R p b 2 4 x L 1 B h c n Q l M j B O d W 1 i Z X I v U 2 9 1 c m N l P C 9 J d G V t U G F 0 a D 4 8 L 0 l 0 Z W 1 M b 2 N h d G l v b j 4 8 U 3 R h Y m x l R W 5 0 c m l l c y A v P j w v S X R l b T 4 8 S X R l b T 4 8 S X R l b U x v Y 2 F 0 a W 9 u P j x J d G V t V H l w Z T 5 G b 3 J t d W x h P C 9 J d G V t V H l w Z T 4 8 S X R l b V B h d G g + U 2 V j d G l v b j E v U G F y d C U y M E 5 1 b W J l c i 9 D a G F u Z 2 V k J T I w V H l w Z T w v S X R l b V B h d G g + P C 9 J d G V t T G 9 j Y X R p b 2 4 + P F N 0 Y W J s Z U V u d H J p Z X M g L z 4 8 L 0 l 0 Z W 0 + P E l 0 Z W 0 + P E l 0 Z W 1 M b 2 N h d G l v b j 4 8 S X R l b V R 5 c G U + R m 9 y b X V s Y T w v S X R l b V R 5 c G U + P E l 0 Z W 1 Q Y X R o P l N l Y 3 R p b 2 4 x L 1 B h c n Q l M j B O d W 1 i Z X I v Q W R k Z W Q l M j B D d X N 0 b 2 0 8 L 0 l 0 Z W 1 Q Y X R o P j w v S X R l b U x v Y 2 F 0 a W 9 u P j x T d G F i b G V F b n R y a W V z I C 8 + P C 9 J d G V t P j x J d G V t P j x J d G V t T G 9 j Y X R p b 2 4 + P E l 0 Z W 1 U e X B l P k Z v c m 1 1 b G E 8 L 0 l 0 Z W 1 U e X B l P j x J d G V t U G F 0 a D 5 T Z W N 0 a W 9 u M S 9 Q Y X J 0 J T I w T n V t Y m V y L 0 V 4 c G F u Z G V k J T I w Q m x v d 2 V y J T I w T W 9 0 b 3 I 8 L 0 l 0 Z W 1 Q Y X R o P j w v S X R l b U x v Y 2 F 0 a W 9 u P j x T d G F i b G V F b n R y a W V z I C 8 + P C 9 J d G V t P j x J d G V t P j x J d G V t T G 9 j Y X R p b 2 4 + P E l 0 Z W 1 U e X B l P k Z v c m 1 1 b G E 8 L 0 l 0 Z W 1 U e X B l P j x J d G V t U G F 0 a D 5 T Z W N 0 a W 9 u M S 9 Q Y X J 0 J T I w T n V t Y m V y L 0 F k Z G V k J T I w Q 3 V z d G 9 t M T w v S X R l b V B h d G g + P C 9 J d G V t T G 9 j Y X R p b 2 4 + P F N 0 Y W J s Z U V u d H J p Z X M g L z 4 8 L 0 l 0 Z W 0 + P E l 0 Z W 0 + P E l 0 Z W 1 M b 2 N h d G l v b j 4 8 S X R l b V R 5 c G U + R m 9 y b X V s Y T w v S X R l b V R 5 c G U + P E l 0 Z W 1 Q Y X R o P l N l Y 3 R p b 2 4 x L 1 B h c n Q l M j B O d W 1 i Z X I v R X h w Y W 5 k Z W Q l M j B B a X J m b G 9 3 J T I w Q 2 9 u Z m l n P C 9 J d G V t U G F 0 a D 4 8 L 0 l 0 Z W 1 M b 2 N h d G l v b j 4 8 U 3 R h Y m x l R W 5 0 c m l l c y A v P j w v S X R l b T 4 8 S X R l b T 4 8 S X R l b U x v Y 2 F 0 a W 9 u P j x J d G V t V H l w Z T 5 G b 3 J t d W x h P C 9 J d G V t V H l w Z T 4 8 S X R l b V B h d G g + U 2 V j d G l v b j E v U G F y d C U y M E 5 1 b W J l c i 9 B Z G R l Z C U y M E N 1 c 3 R v b T I 8 L 0 l 0 Z W 1 Q Y X R o P j w v S X R l b U x v Y 2 F 0 a W 9 u P j x T d G F i b G V F b n R y a W V z I C 8 + P C 9 J d G V t P j x J d G V t P j x J d G V t T G 9 j Y X R p b 2 4 + P E l 0 Z W 1 U e X B l P k Z v c m 1 1 b G E 8 L 0 l 0 Z W 1 U e X B l P j x J d G V t U G F 0 a D 5 T Z W N 0 a W 9 u M S 9 Q Y X J 0 J T I w T n V t Y m V y L 0 V 4 c G F u Z G V k J T I w U 2 x h Y i U y M E 5 1 b W J l c j w v S X R l b V B h d G g + P C 9 J d G V t T G 9 j Y X R p b 2 4 + P F N 0 Y W J s Z U V u d H J p Z X M g L z 4 8 L 0 l 0 Z W 0 + P E l 0 Z W 0 + P E l 0 Z W 1 M b 2 N h d G l v b j 4 8 S X R l b V R 5 c G U + R m 9 y b X V s Y T w v S X R l b V R 5 c G U + P E l 0 Z W 1 Q Y X R o P l N l Y 3 R p b 2 4 x L 1 B h c n Q l M j B O d W 1 i Z X I v Q W R k Z W Q l M j B D d X N 0 b 2 0 z P C 9 J d G V t U G F 0 a D 4 8 L 0 l 0 Z W 1 M b 2 N h d G l v b j 4 8 U 3 R h Y m x l R W 5 0 c m l l c y A v P j w v S X R l b T 4 8 S X R l b T 4 8 S X R l b U x v Y 2 F 0 a W 9 u P j x J d G V t V H l w Z T 5 G b 3 J t d W x h P C 9 J d G V t V H l w Z T 4 8 S X R l b V B h d G g + U 2 V j d G l v b j E v U G F y d C U y M E 5 1 b W J l c i 9 F e H B h b m R l Z C U y M E 1 l d G V y a W 5 n J T I w Z G V 2 a W N l P C 9 J d G V t U G F 0 a D 4 8 L 0 l 0 Z W 1 M b 2 N h d G l v b j 4 8 U 3 R h Y m x l R W 5 0 c m l l c y A v P j w v S X R l b T 4 8 S X R l b T 4 8 S X R l b U x v Y 2 F 0 a W 9 u P j x J d G V t V H l w Z T 5 G b 3 J t d W x h P C 9 J d G V t V H l w Z T 4 8 S X R l b V B h d G g + U 2 V j d G l v b j E v U G F y d C U y M E 5 1 b W J l c i 9 B Z G R l Z C U y M E N 1 c 3 R v b T Q 8 L 0 l 0 Z W 1 Q Y X R o P j w v S X R l b U x v Y 2 F 0 a W 9 u P j x T d G F i b G V F b n R y a W V z I C 8 + P C 9 J d G V t P j x J d G V t P j x J d G V t T G 9 j Y X R p b 2 4 + P E l 0 Z W 1 U e X B l P k Z v c m 1 1 b G E 8 L 0 l 0 Z W 1 U e X B l P j x J d G V t U G F 0 a D 5 T Z W N 0 a W 9 u M S 9 Q Y X J 0 J T I w T n V t Y m V y L 0 V 4 c G F u Z G V k J T I w V W 5 p d C U y M H N p e m U 8 L 0 l 0 Z W 1 Q Y X R o P j w v S X R l b U x v Y 2 F 0 a W 9 u P j x T d G F i b G V F b n R y a W V z I C 8 + P C 9 J d G V t P j x J d G V t P j x J d G V t T G 9 j Y X R p b 2 4 + P E l 0 Z W 1 U e X B l P k Z v c m 1 1 b G E 8 L 0 l 0 Z W 1 U e X B l P j x J d G V t U G F 0 a D 5 T Z W N 0 a W 9 u M S 9 Q Y X J 0 J T I w T n V t Y m V y L 0 F k Z G V k J T I w Q 3 V z d G 9 t N T w v S X R l b V B h d G g + P C 9 J d G V t T G 9 j Y X R p b 2 4 + P F N 0 Y W J s Z U V u d H J p Z X M g L z 4 8 L 0 l 0 Z W 0 + P E l 0 Z W 0 + P E l 0 Z W 1 M b 2 N h d G l v b j 4 8 S X R l b V R 5 c G U + R m 9 y b X V s Y T w v S X R l b V R 5 c G U + P E l 0 Z W 1 Q Y X R o P l N l Y 3 R p b 2 4 x L 1 B h c n Q l M j B O d W 1 i Z X I v R X h w Y W 5 k Z W Q l M j B M a W 5 l J T I w V m 9 s d G F n Z T w v S X R l b V B h d G g + P C 9 J d G V t T G 9 j Y X R p b 2 4 + P F N 0 Y W J s Z U V u d H J p Z X M g L z 4 8 L 0 l 0 Z W 0 + P E l 0 Z W 0 + P E l 0 Z W 1 M b 2 N h d G l v b j 4 8 S X R l b V R 5 c G U + R m 9 y b X V s Y T w v S X R l b V R 5 c G U + P E l 0 Z W 1 Q Y X R o P l N l Y 3 R p b 2 4 x L 1 B h c n Q l M j B O d W 1 i Z X I v Q W R k Z W Q l M j B D d X N 0 b 2 0 2 P C 9 J d G V t U G F 0 a D 4 8 L 0 l 0 Z W 1 M b 2 N h d G l v b j 4 8 U 3 R h Y m x l R W 5 0 c m l l c y A v P j w v S X R l b T 4 8 S X R l b T 4 8 S X R l b U x v Y 2 F 0 a W 9 u P j x J d G V t V H l w Z T 5 G b 3 J t d W x h P C 9 J d G V t V H l w Z T 4 8 S X R l b V B h d G g + U 2 V j d G l v b j E v U G F y d C U y M E 5 1 b W J l c i 9 F e H B h b m R l Z C U y M E V s Z W N 0 c m l j Y W w l M j B o Z W F 0 P C 9 J d G V t U G F 0 a D 4 8 L 0 l 0 Z W 1 M b 2 N h d G l v b j 4 8 U 3 R h Y m x l R W 5 0 c m l l c y A v P j w v S X R l b T 4 8 S X R l b T 4 8 S X R l b U x v Y 2 F 0 a W 9 u P j x J d G V t V H l w Z T 5 G b 3 J t d W x h P C 9 J d G V t V H l w Z T 4 8 S X R l b V B h d G g + U 2 V j d G l v b j E v U G F y d C U y M E 5 1 b W J l c i 9 B Z G R l Z C U y M E N 1 c 3 R v b T c 8 L 0 l 0 Z W 1 Q Y X R o P j w v S X R l b U x v Y 2 F 0 a W 9 u P j x T d G F i b G V F b n R y a W V z I C 8 + P C 9 J d G V t P j x J d G V t P j x J d G V t T G 9 j Y X R p b 2 4 + P E l 0 Z W 1 U e X B l P k Z v c m 1 1 b G E 8 L 0 l 0 Z W 1 U e X B l P j x J d G V t U G F 0 a D 5 T Z W N 0 a W 9 u M S 9 Q Y X J 0 J T I w T n V t Y m V y L 0 V 4 c G F u Z G V k J T I w V m 9 s d G F n Z T w v S X R l b V B h d G g + P C 9 J d G V t T G 9 j Y X R p b 2 4 + P F N 0 Y W J s Z U V u d H J p Z X M g L z 4 8 L 0 l 0 Z W 0 + P E l 0 Z W 0 + P E l 0 Z W 1 M b 2 N h d G l v b j 4 8 S X R l b V R 5 c G U + R m 9 y b X V s Y T w v S X R l b V R 5 c G U + P E l 0 Z W 1 Q Y X R o P l N l Y 3 R p b 2 4 x L 1 B h c n Q l M j B O d W 1 i Z X I v Q W R k Z W Q l M j B D d X N 0 b 2 0 4 P C 9 J d G V t U G F 0 a D 4 8 L 0 l 0 Z W 1 M b 2 N h d G l v b j 4 8 U 3 R h Y m x l R W 5 0 c m l l c y A v P j w v S X R l b T 4 8 S X R l b T 4 8 S X R l b U x v Y 2 F 0 a W 9 u P j x J d G V t V H l w Z T 5 G b 3 J t d W x h P C 9 J d G V t V H l w Z T 4 8 S X R l b V B h d G g + U 2 V j d G l v b j E v U G F y d C U y M E 5 1 b W J l c i 9 F e H B h b m R l Z C U y M F J l d m l z a W 9 u P C 9 J d G V t U G F 0 a D 4 8 L 0 l 0 Z W 1 M b 2 N h d G l v b j 4 8 U 3 R h Y m x l R W 5 0 c m l l c y A v P j w v S X R l b T 4 8 S X R l b T 4 8 S X R l b U x v Y 2 F 0 a W 9 u P j x J d G V t V H l w Z T 5 G b 3 J t d W x h P C 9 J d G V t V H l w Z T 4 8 S X R l b V B h d G g + U 2 V j d G l v b j E v V G F i b G U 2 P C 9 J d G V t U G F 0 a D 4 8 L 0 l 0 Z W 1 M b 2 N h d G l v b j 4 8 U 3 R h Y m x l R W 5 0 c m l l c z 4 8 R W 5 0 c n k g V H l w Z T 0 i S X N Q c m l 2 Y X R l I i B W Y W x 1 Z T 0 i b D A i I C 8 + P E V u d H J 5 I F R 5 c G U 9 I l F 1 Z X J 5 S U Q i I F Z h b H V l P S J z Y T B j M D F h Z D A t M G U 3 Z S 0 0 N j I 3 L T k w M T Y t Y T g z N z Q 3 O T U 3 Z j V i 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R m l s b G V k Q 2 9 t c G x l d G V S Z X N 1 b H R U b 1 d v c m t z a G V l d C I g V m F s d W U 9 I m w x I i A v P j x F b n R y e S B U e X B l P S J B Z G R l Z F R v R G F 0 Y U 1 v Z G V s I i B W Y W x 1 Z T 0 i b D A i I C 8 + P E V u d H J 5 I F R 5 c G U 9 I k Z p b G x D b 3 V u d C I g V m F s d W U 9 I m w x I i A v P j x F b n R y e S B U e X B l P S J G a W x s R X J y b 3 J D b 2 R l I i B W Y W x 1 Z T 0 i c 1 V u a 2 5 v d 2 4 i I C 8 + P E V u d H J 5 I F R 5 c G U 9 I k Z p b G x F c n J v c k N v d W 5 0 I i B W Y W x 1 Z T 0 i b D A i I C 8 + P E V u d H J 5 I F R 5 c G U 9 I k Z p b G x M Y X N 0 V X B k Y X R l Z C I g V m F s d W U 9 I m Q y M D I 1 L T A y L T I 3 V D I y O j M 2 O j I z L j E y M T U y N j d a I i A v P j x F b n R y e S B U e X B l P S J G a W x s Q 2 9 s d W 1 u V H l w Z X M i I F Z h b H V l P S J z Q m c 9 P S I g L z 4 8 R W 5 0 c n k g V H l w Z T 0 i R m l s b E N v b H V t b k 5 h b W V z I i B W Y W x 1 Z T 0 i c 1 s m c X V v d D t T Z X J p Z X M 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s Z T Y v Q X V 0 b 1 J l b W 9 2 Z W R D b 2 x 1 b W 5 z M S 5 7 U 2 V y a W V z L D B 9 J n F 1 b 3 Q 7 X S w m c X V v d D t D b 2 x 1 b W 5 D b 3 V u d C Z x d W 9 0 O z o x L C Z x d W 9 0 O 0 t l e U N v b H V t b k 5 h b W V z J n F 1 b 3 Q 7 O l t d L C Z x d W 9 0 O 0 N v b H V t b k l k Z W 5 0 a X R p Z X M m c X V v d D s 6 W y Z x d W 9 0 O 1 N l Y 3 R p b 2 4 x L 1 R h Y m x l N i 9 B d X R v U m V t b 3 Z l Z E N v b H V t b n M x L n t T Z X J p Z X M s M H 0 m c X V v d D t d L C Z x d W 9 0 O 1 J l b G F 0 a W 9 u c 2 h p c E l u Z m 8 m c X V v d D s 6 W 1 1 9 I i A v P j w v U 3 R h Y m x l R W 5 0 c m l l c z 4 8 L 0 l 0 Z W 0 + P E l 0 Z W 0 + P E l 0 Z W 1 M b 2 N h d G l v b j 4 8 S X R l b V R 5 c G U + R m 9 y b X V s Y T w v S X R l b V R 5 c G U + P E l 0 Z W 1 Q Y X R o P l N l Y 3 R p b 2 4 x L 1 R h Y m x l N i 9 T b 3 V y Y 2 U 8 L 0 l 0 Z W 1 Q Y X R o P j w v S X R l b U x v Y 2 F 0 a W 9 u P j x T d G F i b G V F b n R y a W V z I C 8 + P C 9 J d G V t P j x J d G V t P j x J d G V t T G 9 j Y X R p b 2 4 + P E l 0 Z W 1 U e X B l P k Z v c m 1 1 b G E 8 L 0 l 0 Z W 1 U e X B l P j x J d G V t U G F 0 a D 5 T Z W N 0 a W 9 u M S 9 U Y W J s Z T Y v Q 2 h h b m d l Z C U y M F R 5 c G U 8 L 0 l 0 Z W 1 Q Y X R o P j w v S X R l b U x v Y 2 F 0 a W 9 u P j x T d G F i b G V F b n R y a W V z I C 8 + P C 9 J d G V t P j w v S X R l b X M + P C 9 M b 2 N h b F B h Y 2 t h Z 2 V N Z X R h Z G F 0 Y U Z p b G U + F g A A A F B L B Q Y A A A A A A A A A A A A A A A A A A A A A A A D a A A A A A Q A A A N C M n d 8 B F d E R j H o A w E / C l + s B A A A A X O j S e F F Z 3 0 W z V m W 7 4 O C 9 F Q A A A A A C A A A A A A A D Z g A A w A A A A B A A A A C E 9 k 1 G z 9 G 6 Y B y o 5 e H S p w F H A A A A A A S A A A C g A A A A E A A A A K 0 i E L F G x / u W l L t e O J 9 p G 9 l Q A A A A J l P s 8 I V n D D W K / Q u G w I n / z 2 v J 2 2 W I s 1 3 8 w X A 7 / Y T r q P y M c X H 8 d p d H z 4 y F z E c n L a j o h D k W W u A 4 1 j 4 B z 7 E J z Y 1 M P F b q x l 8 p / R 2 G Z s M j R T u Z a r I U A A A A k l h d u 1 7 L n L u 7 a 6 Y v u z q 8 V z p b U 6 0 = < / D a t a M a s h u p > 
</file>

<file path=customXml/itemProps1.xml><?xml version="1.0" encoding="utf-8"?>
<ds:datastoreItem xmlns:ds="http://schemas.openxmlformats.org/officeDocument/2006/customXml" ds:itemID="{ABB1EDBA-5B40-4F06-B711-6286C85C241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Front</vt:lpstr>
      <vt:lpstr>Back</vt:lpstr>
      <vt:lpstr>Nomenclature</vt:lpstr>
      <vt:lpstr>Data</vt:lpstr>
      <vt:lpstr>Airflow</vt:lpstr>
      <vt:lpstr>Dim</vt:lpstr>
      <vt:lpstr>Back!Print_Area</vt:lpstr>
      <vt:lpstr>Front!Print_Area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Gurz, Michael</dc:creator>
  <cp:lastModifiedBy>D, Hariharan</cp:lastModifiedBy>
  <cp:lastPrinted>2025-04-23T18:46:22Z</cp:lastPrinted>
  <dcterms:created xsi:type="dcterms:W3CDTF">2018-06-13T16:44:01Z</dcterms:created>
  <dcterms:modified xsi:type="dcterms:W3CDTF">2026-07-02T14:29:49Z</dcterms:modified>
</cp:coreProperties>
</file>